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C:\Users\Rachael Knapton\Desktop\"/>
    </mc:Choice>
  </mc:AlternateContent>
  <xr:revisionPtr revIDLastSave="0" documentId="8_{03EFB41D-2D8F-4904-B550-F792BC3528EC}" xr6:coauthVersionLast="46" xr6:coauthVersionMax="46" xr10:uidLastSave="{00000000-0000-0000-0000-000000000000}"/>
  <workbookProtection workbookPassword="E9D1" lockStructure="1"/>
  <bookViews>
    <workbookView xWindow="49170" yWindow="-120" windowWidth="29040" windowHeight="15840" tabRatio="574" xr2:uid="{00000000-000D-0000-FFFF-FFFF00000000}"/>
  </bookViews>
  <sheets>
    <sheet name="Product Information Form" sheetId="1" r:id="rId1"/>
    <sheet name="Certificates and documents" sheetId="2" r:id="rId2"/>
  </sheets>
  <definedNames>
    <definedName name="_xlnm._FilterDatabase" localSheetId="0" hidden="1">'Product Information Form'!#REF!</definedName>
    <definedName name="Check8" localSheetId="0">'Product Information Form'!#REF!</definedName>
    <definedName name="CoyName1" localSheetId="0">'Product Information Form'!$C$32</definedName>
    <definedName name="CoyName2" localSheetId="0">'Product Information Form'!$C$33</definedName>
    <definedName name="_xlnm.Print_Area" localSheetId="0">'Product Information Form'!$B$1:$AG$915</definedName>
    <definedName name="Section1Check1" localSheetId="0">'Product Information Form'!#REF!</definedName>
    <definedName name="Section1Check2" localSheetId="0">'Product Information Form'!#REF!</definedName>
    <definedName name="Section1Check3" localSheetId="0">'Product Information Form'!#REF!</definedName>
    <definedName name="Section1Check4" localSheetId="0">'Product Information Form'!#REF!</definedName>
    <definedName name="Section1Check5" localSheetId="0">'Product Information Form'!$N$50</definedName>
    <definedName name="SiteLocation1" localSheetId="0">'Product Information Form'!$F$32</definedName>
    <definedName name="SiteLocation2" localSheetId="0">'Product Information Form'!$F$33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28" i="1" l="1"/>
  <c r="A547" i="1"/>
  <c r="A546" i="1"/>
  <c r="AK428" i="1"/>
  <c r="AK523" i="1"/>
  <c r="AK519" i="1"/>
  <c r="AK511" i="1"/>
  <c r="AK515" i="1"/>
  <c r="AL663" i="1"/>
  <c r="AL662" i="1"/>
  <c r="AL661" i="1"/>
  <c r="AN686" i="1" s="1"/>
  <c r="AL660" i="1"/>
  <c r="AL659" i="1"/>
  <c r="AL658" i="1"/>
  <c r="AL657" i="1"/>
  <c r="AL656" i="1"/>
  <c r="AL655" i="1"/>
  <c r="AL654" i="1"/>
  <c r="AL653" i="1"/>
  <c r="AM687" i="1" s="1"/>
  <c r="AL652" i="1"/>
  <c r="AL651" i="1"/>
  <c r="AL650" i="1"/>
  <c r="AK650" i="1"/>
  <c r="AI433" i="1"/>
  <c r="AI432" i="1"/>
  <c r="AK765" i="1"/>
  <c r="AK433" i="1"/>
  <c r="AK475" i="1"/>
  <c r="AK472" i="1"/>
  <c r="AK468" i="1"/>
  <c r="AK464" i="1"/>
  <c r="AK461" i="1"/>
  <c r="AK458" i="1"/>
  <c r="AK457" i="1"/>
  <c r="AK456" i="1"/>
  <c r="AK455" i="1"/>
  <c r="AK453" i="1"/>
  <c r="AK452" i="1"/>
  <c r="AK449" i="1"/>
  <c r="AK446" i="1"/>
  <c r="AK443" i="1"/>
  <c r="AK441" i="1"/>
  <c r="AK440" i="1"/>
  <c r="AK439" i="1"/>
  <c r="AK438" i="1"/>
  <c r="AK437" i="1"/>
  <c r="AK436" i="1"/>
  <c r="AK435" i="1"/>
  <c r="AK434" i="1"/>
  <c r="AM415" i="1"/>
  <c r="AL415" i="1"/>
  <c r="AM414" i="1"/>
  <c r="AL414" i="1"/>
  <c r="AM413" i="1"/>
  <c r="AL413" i="1"/>
  <c r="AM412" i="1"/>
  <c r="AL412" i="1"/>
  <c r="AM411" i="1"/>
  <c r="AL411" i="1"/>
  <c r="AM410" i="1"/>
  <c r="AL410" i="1"/>
  <c r="AM409" i="1"/>
  <c r="AL409" i="1"/>
  <c r="AM408" i="1"/>
  <c r="AL408" i="1"/>
  <c r="AM407" i="1"/>
  <c r="AL407" i="1"/>
  <c r="AM406" i="1"/>
  <c r="AL406" i="1"/>
  <c r="AM405" i="1"/>
  <c r="AL405" i="1"/>
  <c r="AM404" i="1"/>
  <c r="AL404" i="1"/>
  <c r="AM403" i="1"/>
  <c r="AL403" i="1"/>
  <c r="AM402" i="1"/>
  <c r="AL402" i="1"/>
  <c r="AM401" i="1"/>
  <c r="AL401" i="1"/>
  <c r="AM400" i="1"/>
  <c r="AL400" i="1"/>
  <c r="AM399" i="1"/>
  <c r="AL399" i="1"/>
  <c r="AM398" i="1"/>
  <c r="AL398" i="1"/>
  <c r="AM397" i="1"/>
  <c r="AL397" i="1"/>
  <c r="AM396" i="1"/>
  <c r="AL396" i="1"/>
  <c r="AM395" i="1"/>
  <c r="AL395" i="1"/>
  <c r="AM394" i="1"/>
  <c r="AL394" i="1"/>
  <c r="AM393" i="1"/>
  <c r="AL393" i="1"/>
  <c r="AM392" i="1"/>
  <c r="AL392" i="1"/>
  <c r="AM391" i="1"/>
  <c r="AL391" i="1"/>
  <c r="AM390" i="1"/>
  <c r="AL390" i="1"/>
  <c r="AM389" i="1"/>
  <c r="AL389" i="1"/>
  <c r="AM387" i="1"/>
  <c r="AL387" i="1"/>
  <c r="AM386" i="1"/>
  <c r="AL386" i="1"/>
  <c r="AM385" i="1"/>
  <c r="AL385" i="1"/>
  <c r="AM388" i="1"/>
  <c r="AL388" i="1"/>
  <c r="A150" i="1"/>
  <c r="AK888" i="1"/>
  <c r="AJ888" i="1"/>
  <c r="AJ865" i="1"/>
  <c r="AJ846" i="1"/>
  <c r="AK832" i="1"/>
  <c r="AJ832" i="1"/>
  <c r="AJ822" i="1"/>
  <c r="AK799" i="1"/>
  <c r="AJ799" i="1"/>
  <c r="AK797" i="1"/>
  <c r="AJ797" i="1"/>
  <c r="AK796" i="1"/>
  <c r="AJ796" i="1"/>
  <c r="J795" i="1"/>
  <c r="A794" i="1"/>
  <c r="AK789" i="1"/>
  <c r="AJ789" i="1"/>
  <c r="AK788" i="1"/>
  <c r="AJ788" i="1"/>
  <c r="B787" i="1"/>
  <c r="A787" i="1"/>
  <c r="AK780" i="1"/>
  <c r="AJ780" i="1"/>
  <c r="AK776" i="1"/>
  <c r="AJ776" i="1"/>
  <c r="AK774" i="1"/>
  <c r="AJ774" i="1"/>
  <c r="AK772" i="1"/>
  <c r="AJ772" i="1"/>
  <c r="B756" i="1"/>
  <c r="B755" i="1"/>
  <c r="A756" i="1" s="1"/>
  <c r="AK754" i="1"/>
  <c r="B754" i="1"/>
  <c r="AK752" i="1"/>
  <c r="AK749" i="1"/>
  <c r="AJ749" i="1"/>
  <c r="A749" i="1"/>
  <c r="AJ765" i="1" s="1"/>
  <c r="AK739" i="1"/>
  <c r="AJ739" i="1"/>
  <c r="A739" i="1"/>
  <c r="E735" i="1"/>
  <c r="AK734" i="1"/>
  <c r="AJ734" i="1"/>
  <c r="AK732" i="1"/>
  <c r="AK730" i="1"/>
  <c r="AJ730" i="1"/>
  <c r="AK728" i="1"/>
  <c r="AJ728" i="1"/>
  <c r="AL727" i="1"/>
  <c r="AK727" i="1"/>
  <c r="AJ727" i="1"/>
  <c r="A727" i="1"/>
  <c r="AK717" i="1"/>
  <c r="AI717" i="1"/>
  <c r="AK715" i="1"/>
  <c r="AI715" i="1"/>
  <c r="AK713" i="1"/>
  <c r="AI713" i="1"/>
  <c r="B709" i="1"/>
  <c r="C709" i="1" s="1"/>
  <c r="AK705" i="1"/>
  <c r="AI705" i="1"/>
  <c r="AK704" i="1"/>
  <c r="AI704" i="1"/>
  <c r="AK703" i="1"/>
  <c r="AI703" i="1"/>
  <c r="AK702" i="1"/>
  <c r="AI702" i="1"/>
  <c r="AK693" i="1"/>
  <c r="AJ693" i="1"/>
  <c r="AK690" i="1"/>
  <c r="AJ690" i="1"/>
  <c r="A686" i="1"/>
  <c r="AD676" i="1"/>
  <c r="AC676" i="1"/>
  <c r="O676" i="1"/>
  <c r="N676" i="1"/>
  <c r="B676" i="1"/>
  <c r="A676" i="1"/>
  <c r="AD675" i="1"/>
  <c r="AC675" i="1"/>
  <c r="O675" i="1"/>
  <c r="N675" i="1"/>
  <c r="B675" i="1"/>
  <c r="A675" i="1"/>
  <c r="AD674" i="1"/>
  <c r="AC674" i="1"/>
  <c r="O674" i="1"/>
  <c r="N674" i="1"/>
  <c r="B674" i="1"/>
  <c r="A674" i="1"/>
  <c r="AD673" i="1"/>
  <c r="AC673" i="1"/>
  <c r="O673" i="1"/>
  <c r="N673" i="1"/>
  <c r="B673" i="1"/>
  <c r="A673" i="1"/>
  <c r="AD672" i="1"/>
  <c r="AC672" i="1"/>
  <c r="O672" i="1"/>
  <c r="N672" i="1"/>
  <c r="B672" i="1"/>
  <c r="A672" i="1"/>
  <c r="AD671" i="1"/>
  <c r="AC671" i="1"/>
  <c r="O671" i="1"/>
  <c r="N671" i="1"/>
  <c r="B671" i="1"/>
  <c r="A671" i="1"/>
  <c r="A667" i="1"/>
  <c r="C667" i="1" s="1"/>
  <c r="AO663" i="1"/>
  <c r="AP663" i="1" s="1"/>
  <c r="A663" i="1"/>
  <c r="M663" i="1" s="1"/>
  <c r="AO662" i="1"/>
  <c r="AP662" i="1" s="1"/>
  <c r="AM662" i="1"/>
  <c r="AN662" i="1" s="1"/>
  <c r="A662" i="1"/>
  <c r="M662" i="1" s="1"/>
  <c r="AO661" i="1"/>
  <c r="AP661" i="1" s="1"/>
  <c r="AM661" i="1"/>
  <c r="AN661" i="1" s="1"/>
  <c r="A661" i="1"/>
  <c r="AA661" i="1" s="1"/>
  <c r="AO660" i="1"/>
  <c r="AP660" i="1" s="1"/>
  <c r="AM660" i="1"/>
  <c r="AN660" i="1" s="1"/>
  <c r="A660" i="1"/>
  <c r="M660" i="1" s="1"/>
  <c r="AO659" i="1"/>
  <c r="AP659" i="1" s="1"/>
  <c r="AM659" i="1"/>
  <c r="AN659" i="1" s="1"/>
  <c r="A659" i="1"/>
  <c r="M659" i="1" s="1"/>
  <c r="AO658" i="1"/>
  <c r="AP658" i="1"/>
  <c r="A658" i="1"/>
  <c r="AA658" i="1" s="1"/>
  <c r="AO657" i="1"/>
  <c r="AP657" i="1" s="1"/>
  <c r="AK657" i="1"/>
  <c r="A657" i="1"/>
  <c r="M657" i="1" s="1"/>
  <c r="AO656" i="1"/>
  <c r="AP656" i="1" s="1"/>
  <c r="AK656" i="1"/>
  <c r="A656" i="1"/>
  <c r="M656" i="1" s="1"/>
  <c r="AQ655" i="1"/>
  <c r="AK653" i="1" s="1"/>
  <c r="AO655" i="1"/>
  <c r="AP655" i="1" s="1"/>
  <c r="AK655" i="1"/>
  <c r="A655" i="1"/>
  <c r="M655" i="1" s="1"/>
  <c r="AQ654" i="1"/>
  <c r="AB655" i="1" s="1"/>
  <c r="AO654" i="1"/>
  <c r="AP654" i="1" s="1"/>
  <c r="AM654" i="1"/>
  <c r="AN654" i="1" s="1"/>
  <c r="AK654" i="1"/>
  <c r="AK658" i="1" s="1"/>
  <c r="AK659" i="1" s="1"/>
  <c r="A654" i="1"/>
  <c r="M654" i="1" s="1"/>
  <c r="AA654" i="1"/>
  <c r="AO653" i="1"/>
  <c r="AP653" i="1" s="1"/>
  <c r="AM653" i="1"/>
  <c r="AN653" i="1"/>
  <c r="A653" i="1"/>
  <c r="R653" i="1" s="1"/>
  <c r="AO652" i="1"/>
  <c r="AP652" i="1"/>
  <c r="A652" i="1"/>
  <c r="M652" i="1" s="1"/>
  <c r="AO651" i="1"/>
  <c r="AP651" i="1" s="1"/>
  <c r="AM651" i="1"/>
  <c r="AN651" i="1" s="1"/>
  <c r="AM686" i="1"/>
  <c r="A651" i="1"/>
  <c r="M651" i="1" s="1"/>
  <c r="AO650" i="1"/>
  <c r="AP650" i="1" s="1"/>
  <c r="AM650" i="1"/>
  <c r="AN650" i="1" s="1"/>
  <c r="A650" i="1"/>
  <c r="AA650" i="1" s="1"/>
  <c r="B649" i="1"/>
  <c r="Z679" i="1" s="1"/>
  <c r="A648" i="1"/>
  <c r="AK645" i="1"/>
  <c r="AJ645" i="1"/>
  <c r="B136" i="1"/>
  <c r="E643" i="1" s="1"/>
  <c r="A643" i="1"/>
  <c r="I641" i="1"/>
  <c r="AK640" i="1"/>
  <c r="AK638" i="1"/>
  <c r="A628" i="1"/>
  <c r="B628" i="1" s="1"/>
  <c r="E628" i="1" s="1"/>
  <c r="AK626" i="1"/>
  <c r="AJ626" i="1"/>
  <c r="AK622" i="1"/>
  <c r="AJ622" i="1"/>
  <c r="A622" i="1"/>
  <c r="AK618" i="1"/>
  <c r="AJ618" i="1"/>
  <c r="A617" i="1"/>
  <c r="AK616" i="1"/>
  <c r="AJ616" i="1"/>
  <c r="AK614" i="1"/>
  <c r="AJ614" i="1"/>
  <c r="A614" i="1"/>
  <c r="A613" i="1"/>
  <c r="E608" i="1"/>
  <c r="B608" i="1"/>
  <c r="A608" i="1"/>
  <c r="AB607" i="1"/>
  <c r="AK605" i="1"/>
  <c r="AJ605" i="1"/>
  <c r="A605" i="1"/>
  <c r="AK603" i="1"/>
  <c r="AJ603" i="1"/>
  <c r="B601" i="1"/>
  <c r="A601" i="1"/>
  <c r="G600" i="1"/>
  <c r="G599" i="1"/>
  <c r="G598" i="1"/>
  <c r="G597" i="1"/>
  <c r="AK596" i="1"/>
  <c r="AJ596" i="1"/>
  <c r="G596" i="1"/>
  <c r="AK593" i="1"/>
  <c r="AJ593" i="1"/>
  <c r="A591" i="1"/>
  <c r="AK588" i="1"/>
  <c r="E585" i="1"/>
  <c r="AK584" i="1"/>
  <c r="AJ584" i="1"/>
  <c r="AK575" i="1"/>
  <c r="AJ575" i="1"/>
  <c r="AK567" i="1"/>
  <c r="AJ567" i="1"/>
  <c r="AK561" i="1"/>
  <c r="A561" i="1"/>
  <c r="A557" i="1"/>
  <c r="W553" i="1"/>
  <c r="W552" i="1"/>
  <c r="A552" i="1"/>
  <c r="W547" i="1"/>
  <c r="W546" i="1"/>
  <c r="AK542" i="1"/>
  <c r="AI542" i="1"/>
  <c r="AJ542" i="1" s="1"/>
  <c r="A542" i="1"/>
  <c r="AK534" i="1"/>
  <c r="AK533" i="1"/>
  <c r="AK507" i="1"/>
  <c r="AK504" i="1"/>
  <c r="AK501" i="1"/>
  <c r="AK495" i="1"/>
  <c r="AK490" i="1"/>
  <c r="A490" i="1"/>
  <c r="AK488" i="1"/>
  <c r="AK487" i="1"/>
  <c r="AK484" i="1"/>
  <c r="AK483" i="1"/>
  <c r="AK482" i="1"/>
  <c r="AI480" i="1"/>
  <c r="AJ480" i="1" s="1"/>
  <c r="A434" i="1"/>
  <c r="A433" i="1"/>
  <c r="E427" i="1"/>
  <c r="G426" i="1"/>
  <c r="F426" i="1"/>
  <c r="AK424" i="1"/>
  <c r="AJ424" i="1"/>
  <c r="A424" i="1"/>
  <c r="AK419" i="1"/>
  <c r="AJ419" i="1"/>
  <c r="A419" i="1"/>
  <c r="AK417" i="1"/>
  <c r="B417" i="1"/>
  <c r="AJ417" i="1"/>
  <c r="A417" i="1"/>
  <c r="B414" i="1"/>
  <c r="AK413" i="1"/>
  <c r="AK407" i="1"/>
  <c r="AK404" i="1"/>
  <c r="AK401" i="1"/>
  <c r="AK396" i="1"/>
  <c r="AK393" i="1"/>
  <c r="AK390" i="1"/>
  <c r="B329" i="1"/>
  <c r="B328" i="1"/>
  <c r="B388" i="1" s="1"/>
  <c r="AK387" i="1"/>
  <c r="G379" i="1"/>
  <c r="F379" i="1"/>
  <c r="AK377" i="1"/>
  <c r="AJ377" i="1"/>
  <c r="A367" i="1"/>
  <c r="A368" i="1" s="1"/>
  <c r="A370" i="1"/>
  <c r="BP370" i="1" s="1"/>
  <c r="B361" i="1"/>
  <c r="AK360" i="1"/>
  <c r="AI360" i="1"/>
  <c r="B360" i="1"/>
  <c r="B411" i="1" s="1"/>
  <c r="AI413" i="1" s="1"/>
  <c r="A360" i="1"/>
  <c r="B357" i="1"/>
  <c r="AI356" i="1"/>
  <c r="AK356" i="1"/>
  <c r="A356" i="1"/>
  <c r="B356" i="1"/>
  <c r="B408" i="1" s="1"/>
  <c r="AI410" i="1" s="1"/>
  <c r="B354" i="1"/>
  <c r="AK353" i="1"/>
  <c r="AI353" i="1"/>
  <c r="B353" i="1"/>
  <c r="B405" i="1" s="1"/>
  <c r="AI407" i="1" s="1"/>
  <c r="A353" i="1"/>
  <c r="B350" i="1"/>
  <c r="AK349" i="1"/>
  <c r="AI349" i="1"/>
  <c r="B349" i="1"/>
  <c r="B402" i="1" s="1"/>
  <c r="AI404" i="1" s="1"/>
  <c r="A349" i="1"/>
  <c r="B345" i="1"/>
  <c r="AK344" i="1"/>
  <c r="AI344" i="1"/>
  <c r="B344" i="1"/>
  <c r="B399" i="1"/>
  <c r="AI401" i="1" s="1"/>
  <c r="A344" i="1"/>
  <c r="B341" i="1"/>
  <c r="B340" i="1"/>
  <c r="B397" i="1" s="1"/>
  <c r="B337" i="1"/>
  <c r="AK336" i="1"/>
  <c r="AI336" i="1"/>
  <c r="B336" i="1"/>
  <c r="B394" i="1" s="1"/>
  <c r="A336" i="1"/>
  <c r="B333" i="1"/>
  <c r="AK332" i="1"/>
  <c r="AI332" i="1"/>
  <c r="AI323" i="1"/>
  <c r="AI328" i="1"/>
  <c r="AI314" i="1"/>
  <c r="B332" i="1"/>
  <c r="B391" i="1"/>
  <c r="AI393" i="1" s="1"/>
  <c r="A332" i="1"/>
  <c r="AK323" i="1"/>
  <c r="A323" i="1"/>
  <c r="AK328" i="1"/>
  <c r="A328" i="1"/>
  <c r="AK707" i="1"/>
  <c r="B324" i="1"/>
  <c r="B323" i="1"/>
  <c r="B385" i="1" s="1"/>
  <c r="AI387" i="1" s="1"/>
  <c r="AM317" i="1"/>
  <c r="AL317" i="1"/>
  <c r="AN317" i="1" s="1"/>
  <c r="AB317" i="1" s="1"/>
  <c r="AM316" i="1"/>
  <c r="AL316" i="1"/>
  <c r="AK316" i="1"/>
  <c r="AM315" i="1"/>
  <c r="AL315" i="1"/>
  <c r="AK315" i="1"/>
  <c r="AN314" i="1"/>
  <c r="AM314" i="1"/>
  <c r="AL314" i="1"/>
  <c r="AK314" i="1"/>
  <c r="AK313" i="1"/>
  <c r="A313" i="1"/>
  <c r="AI311" i="1"/>
  <c r="AK307" i="1"/>
  <c r="AK306" i="1"/>
  <c r="AK305" i="1"/>
  <c r="AK304" i="1"/>
  <c r="AK303" i="1"/>
  <c r="AK302" i="1"/>
  <c r="AK301" i="1"/>
  <c r="AK300" i="1"/>
  <c r="AK299" i="1"/>
  <c r="AJ299" i="1"/>
  <c r="AK298" i="1"/>
  <c r="A292" i="1"/>
  <c r="AK288" i="1"/>
  <c r="AJ288" i="1"/>
  <c r="AK282" i="1"/>
  <c r="AJ282" i="1"/>
  <c r="AK280" i="1"/>
  <c r="AJ280" i="1"/>
  <c r="AK278" i="1"/>
  <c r="AJ278" i="1"/>
  <c r="E278" i="1"/>
  <c r="AK274" i="1"/>
  <c r="AJ274" i="1"/>
  <c r="AK251" i="1"/>
  <c r="AJ251" i="1"/>
  <c r="A251" i="1"/>
  <c r="AJ561" i="1" s="1"/>
  <c r="AI231" i="1"/>
  <c r="AI230" i="1"/>
  <c r="AI229" i="1"/>
  <c r="AI228" i="1"/>
  <c r="AI227" i="1"/>
  <c r="AI226" i="1"/>
  <c r="AI225" i="1"/>
  <c r="AI224" i="1"/>
  <c r="AI223" i="1"/>
  <c r="AI222" i="1"/>
  <c r="AI221" i="1"/>
  <c r="AI220" i="1"/>
  <c r="AI219" i="1"/>
  <c r="AI218" i="1"/>
  <c r="AI217" i="1"/>
  <c r="AI216" i="1"/>
  <c r="AI215" i="1"/>
  <c r="AI214" i="1"/>
  <c r="AI213" i="1"/>
  <c r="AI212" i="1"/>
  <c r="AI211" i="1"/>
  <c r="AI210" i="1"/>
  <c r="AI209" i="1"/>
  <c r="AI208" i="1"/>
  <c r="AI207" i="1"/>
  <c r="AI206" i="1"/>
  <c r="AI205" i="1"/>
  <c r="AI204" i="1"/>
  <c r="AI203" i="1"/>
  <c r="AI202" i="1"/>
  <c r="AI201" i="1"/>
  <c r="AI200" i="1"/>
  <c r="AI199" i="1"/>
  <c r="AI198" i="1"/>
  <c r="AI197" i="1"/>
  <c r="AI196" i="1"/>
  <c r="AI195" i="1"/>
  <c r="AK189" i="1"/>
  <c r="AI189" i="1"/>
  <c r="AI188" i="1"/>
  <c r="AI187" i="1"/>
  <c r="AI186" i="1"/>
  <c r="B185" i="1"/>
  <c r="B186" i="1" s="1"/>
  <c r="A186" i="1" s="1"/>
  <c r="A175" i="1"/>
  <c r="A185" i="1" s="1"/>
  <c r="AI185" i="1"/>
  <c r="AK184" i="1"/>
  <c r="A181" i="1"/>
  <c r="AJ184" i="1"/>
  <c r="U178" i="1"/>
  <c r="AK178" i="1"/>
  <c r="AJ178" i="1"/>
  <c r="AK175" i="1"/>
  <c r="AJ175" i="1"/>
  <c r="B175" i="1"/>
  <c r="D175" i="1" s="1"/>
  <c r="AM153" i="1"/>
  <c r="AK152" i="1"/>
  <c r="AJ152" i="1"/>
  <c r="AJ148" i="1"/>
  <c r="AK148" i="1"/>
  <c r="AJ130" i="1"/>
  <c r="AJ117" i="1" s="1"/>
  <c r="F117" i="1" s="1"/>
  <c r="AJ132" i="1"/>
  <c r="AJ136" i="1"/>
  <c r="AJ161" i="1"/>
  <c r="AK161" i="1"/>
  <c r="B138" i="1"/>
  <c r="AJ138" i="1" s="1"/>
  <c r="AK146" i="1"/>
  <c r="AJ144" i="1" s="1"/>
  <c r="Z147" i="1"/>
  <c r="AK144" i="1"/>
  <c r="AK138" i="1"/>
  <c r="AK136" i="1"/>
  <c r="AJ370" i="1"/>
  <c r="AK370" i="1"/>
  <c r="AK132" i="1"/>
  <c r="AK130" i="1"/>
  <c r="AJ123" i="1"/>
  <c r="F123" i="1" s="1"/>
  <c r="AJ6" i="1"/>
  <c r="AJ12" i="1"/>
  <c r="AJ45" i="1"/>
  <c r="AJ116" i="1" s="1"/>
  <c r="F116" i="1" s="1"/>
  <c r="AJ75" i="1"/>
  <c r="AK12" i="1"/>
  <c r="A115" i="1"/>
  <c r="A114" i="1"/>
  <c r="A113" i="1"/>
  <c r="AK6" i="1"/>
  <c r="AK75" i="1"/>
  <c r="BE922" i="1"/>
  <c r="BE923" i="1"/>
  <c r="BE924" i="1"/>
  <c r="BE925" i="1"/>
  <c r="BE926" i="1"/>
  <c r="AK45" i="1"/>
  <c r="R656" i="1"/>
  <c r="R657" i="1"/>
  <c r="R652" i="1"/>
  <c r="AA656" i="1"/>
  <c r="AA657" i="1"/>
  <c r="AA652" i="1"/>
  <c r="S662" i="1"/>
  <c r="R662" i="1"/>
  <c r="AA662" i="1"/>
  <c r="S661" i="1"/>
  <c r="S660" i="1"/>
  <c r="AA659" i="1"/>
  <c r="R659" i="1"/>
  <c r="S653" i="1"/>
  <c r="AN643" i="1"/>
  <c r="AA653" i="1"/>
  <c r="S650" i="1"/>
  <c r="M670" i="1"/>
  <c r="Z649" i="1"/>
  <c r="AB670" i="1"/>
  <c r="AM148" i="1"/>
  <c r="B648" i="1"/>
  <c r="AJ651" i="1" s="1"/>
  <c r="B139" i="1"/>
  <c r="AJ643" i="1"/>
  <c r="S654" i="1"/>
  <c r="AA663" i="1"/>
  <c r="R654" i="1"/>
  <c r="B638" i="1"/>
  <c r="AJ640" i="1" s="1"/>
  <c r="R660" i="1"/>
  <c r="R655" i="1"/>
  <c r="R661" i="1"/>
  <c r="AJ374" i="1"/>
  <c r="AK374" i="1"/>
  <c r="AJ373" i="1"/>
  <c r="AK643" i="1"/>
  <c r="R650" i="1"/>
  <c r="D750" i="1"/>
  <c r="AJ752" i="1"/>
  <c r="AJ754" i="1"/>
  <c r="AK410" i="1"/>
  <c r="A374" i="1"/>
  <c r="AK708" i="1"/>
  <c r="AK706" i="1"/>
  <c r="AB650" i="1" l="1"/>
  <c r="S651" i="1"/>
  <c r="AQ656" i="1"/>
  <c r="AA640" i="1"/>
  <c r="AA687" i="1"/>
  <c r="R663" i="1"/>
  <c r="AJ122" i="1"/>
  <c r="F122" i="1" s="1"/>
  <c r="C372" i="1"/>
  <c r="AN645" i="1"/>
  <c r="AJ322" i="1"/>
  <c r="AA655" i="1"/>
  <c r="AJ121" i="1"/>
  <c r="F121" i="1" s="1"/>
  <c r="AJ119" i="1"/>
  <c r="F119" i="1" s="1"/>
  <c r="R658" i="1"/>
  <c r="A391" i="1"/>
  <c r="AN687" i="1"/>
  <c r="AA660" i="1"/>
  <c r="R651" i="1"/>
  <c r="A399" i="1"/>
  <c r="AA651" i="1"/>
  <c r="AJ433" i="1"/>
  <c r="A388" i="1"/>
  <c r="AI390" i="1"/>
  <c r="AJ384" i="1" s="1"/>
  <c r="AJ118" i="1" s="1"/>
  <c r="F118" i="1" s="1"/>
  <c r="AB686" i="1"/>
  <c r="A394" i="1"/>
  <c r="AI396" i="1"/>
  <c r="C640" i="1"/>
  <c r="U638" i="1"/>
  <c r="AC638" i="1" s="1"/>
  <c r="S659" i="1"/>
  <c r="M658" i="1"/>
  <c r="Y643" i="1"/>
  <c r="AJ638" i="1"/>
  <c r="P640" i="1"/>
  <c r="B187" i="1"/>
  <c r="A649" i="1"/>
  <c r="AJ650" i="1" s="1"/>
  <c r="M653" i="1"/>
  <c r="M661" i="1"/>
  <c r="M650" i="1"/>
  <c r="H638" i="1"/>
  <c r="B708" i="1" l="1"/>
  <c r="AI708" i="1" s="1"/>
  <c r="B707" i="1"/>
  <c r="AI707" i="1" s="1"/>
  <c r="A187" i="1"/>
  <c r="B188" i="1"/>
  <c r="B706" i="1"/>
  <c r="A188" i="1" l="1"/>
  <c r="B189" i="1"/>
  <c r="A706" i="1"/>
  <c r="AI706" i="1"/>
  <c r="AJ700" i="1" s="1"/>
  <c r="AJ120" i="1" s="1"/>
  <c r="F120" i="1" s="1"/>
  <c r="A717" i="1"/>
  <c r="A189" i="1" l="1"/>
  <c r="B195" i="1"/>
  <c r="A195" i="1" l="1"/>
  <c r="B196" i="1"/>
  <c r="B197" i="1" l="1"/>
  <c r="A196" i="1"/>
  <c r="B198" i="1" l="1"/>
  <c r="A197" i="1"/>
  <c r="A198" i="1" l="1"/>
  <c r="B199" i="1"/>
  <c r="B200" i="1" l="1"/>
  <c r="A199" i="1"/>
  <c r="A200" i="1" l="1"/>
  <c r="B201" i="1"/>
  <c r="A201" i="1" l="1"/>
  <c r="B202" i="1"/>
  <c r="B203" i="1" l="1"/>
  <c r="A202" i="1"/>
  <c r="B204" i="1" l="1"/>
  <c r="A203" i="1"/>
  <c r="B206" i="1" l="1"/>
  <c r="A204" i="1"/>
  <c r="A206" i="1" l="1"/>
  <c r="B207" i="1"/>
  <c r="B208" i="1" l="1"/>
  <c r="A207" i="1"/>
  <c r="A208" i="1" l="1"/>
  <c r="B209" i="1"/>
  <c r="A209" i="1" l="1"/>
  <c r="B210" i="1"/>
  <c r="A210" i="1" l="1"/>
  <c r="B211" i="1"/>
  <c r="A211" i="1" l="1"/>
  <c r="B212" i="1"/>
  <c r="B213" i="1" l="1"/>
  <c r="A212" i="1"/>
  <c r="A213" i="1" l="1"/>
  <c r="B214" i="1"/>
  <c r="B215" i="1" l="1"/>
  <c r="A214" i="1"/>
  <c r="B217" i="1" l="1"/>
  <c r="A215" i="1"/>
  <c r="B218" i="1" l="1"/>
  <c r="A217" i="1"/>
  <c r="B219" i="1" l="1"/>
  <c r="A218" i="1"/>
  <c r="B220" i="1" l="1"/>
  <c r="A219" i="1"/>
  <c r="B221" i="1" l="1"/>
  <c r="A220" i="1"/>
  <c r="A221" i="1" l="1"/>
  <c r="B222" i="1"/>
  <c r="A222" i="1" l="1"/>
  <c r="B223" i="1"/>
  <c r="B224" i="1" l="1"/>
  <c r="A223" i="1"/>
  <c r="B225" i="1" l="1"/>
  <c r="A224" i="1"/>
  <c r="B226" i="1" l="1"/>
  <c r="A225" i="1"/>
  <c r="B227" i="1" l="1"/>
  <c r="A226" i="1"/>
  <c r="B228" i="1" l="1"/>
  <c r="A227" i="1"/>
  <c r="A228" i="1" l="1"/>
  <c r="B229" i="1"/>
  <c r="A229" i="1" l="1"/>
  <c r="B230" i="1"/>
  <c r="A230" i="1" l="1"/>
  <c r="B231" i="1"/>
  <c r="A231" i="1" s="1"/>
</calcChain>
</file>

<file path=xl/sharedStrings.xml><?xml version="1.0" encoding="utf-8"?>
<sst xmlns="http://schemas.openxmlformats.org/spreadsheetml/2006/main" count="1349" uniqueCount="1116">
  <si>
    <t>Analytical testing confirms absence</t>
  </si>
  <si>
    <t xml:space="preserve"> Have cross contact allergen levels been assessed using the VITAL procedure?</t>
  </si>
  <si>
    <t>GM LABELLING WILL BE REQUIRED</t>
  </si>
  <si>
    <t xml:space="preserve">IF YES, </t>
  </si>
  <si>
    <t xml:space="preserve">Is this product (or any of its components) listed as a novel food in the standard? </t>
  </si>
  <si>
    <r>
      <t>1.4</t>
    </r>
    <r>
      <rPr>
        <b/>
        <sz val="7"/>
        <rFont val="Times New Roman"/>
        <family val="2"/>
      </rPr>
      <t xml:space="preserve">  </t>
    </r>
    <r>
      <rPr>
        <b/>
        <sz val="10"/>
        <rFont val="Arial"/>
        <family val="2"/>
      </rPr>
      <t xml:space="preserve">SUPPLIER DECLARATION AND WARRANTY </t>
    </r>
  </si>
  <si>
    <t>(e)</t>
  </si>
  <si>
    <r>
      <rPr>
        <sz val="10"/>
        <color indexed="8"/>
        <rFont val="Arial"/>
        <family val="2"/>
      </rPr>
      <t xml:space="preserve">Standard 1.4.1 - </t>
    </r>
    <r>
      <rPr>
        <sz val="10"/>
        <rFont val="Arial"/>
        <family val="2"/>
      </rPr>
      <t>Contaminants &amp; Natural Toxicants</t>
    </r>
  </si>
  <si>
    <t>Standard 1.4.2 - Maximum Residue Limits in Food (In Australia), or</t>
  </si>
  <si>
    <t xml:space="preserve">Standard 1.4.3  - Articles &amp; Materials in Contact with Food </t>
  </si>
  <si>
    <t xml:space="preserve">Standard 1.4.4 - Prohibited &amp; Restricted Plants &amp; Fungi </t>
  </si>
  <si>
    <t>certifies that this product complies with the Australia New Zealand Food Standards Code; and, in addition to the information provided specifically in this form, and without limitation to compliance with any other  part of the Code, that the product complies with:</t>
  </si>
  <si>
    <t>1 )</t>
  </si>
  <si>
    <t>2 )</t>
  </si>
  <si>
    <t>3 )</t>
  </si>
  <si>
    <t>4 )</t>
  </si>
  <si>
    <t>5 )</t>
  </si>
  <si>
    <t>6 )</t>
  </si>
  <si>
    <t>- sugars</t>
  </si>
  <si>
    <t>PROPORTION (%)</t>
  </si>
  <si>
    <r>
      <t xml:space="preserve">PROCESS </t>
    </r>
    <r>
      <rPr>
        <sz val="9"/>
        <rFont val="Arial"/>
        <family val="2"/>
      </rPr>
      <t>A</t>
    </r>
    <r>
      <rPr>
        <sz val="8"/>
        <rFont val="Arial"/>
        <family val="2"/>
      </rPr>
      <t>llergenic protein is removed?</t>
    </r>
  </si>
  <si>
    <t xml:space="preserve">Please provide the following analytical data: </t>
  </si>
  <si>
    <r>
      <rPr>
        <b/>
        <sz val="10"/>
        <rFont val="Arial"/>
        <family val="2"/>
      </rPr>
      <t xml:space="preserve">NAME </t>
    </r>
    <r>
      <rPr>
        <sz val="10"/>
        <rFont val="Arial"/>
        <family val="2"/>
      </rPr>
      <t>(Please print)</t>
    </r>
  </si>
  <si>
    <r>
      <rPr>
        <b/>
        <sz val="10"/>
        <rFont val="Arial"/>
        <family val="2"/>
      </rPr>
      <t xml:space="preserve">JOB TITLE </t>
    </r>
    <r>
      <rPr>
        <sz val="10"/>
        <rFont val="Arial"/>
        <family val="2"/>
      </rPr>
      <t>(Please print)</t>
    </r>
  </si>
  <si>
    <t>Artificial</t>
  </si>
  <si>
    <t>Specify Additive Number/s</t>
  </si>
  <si>
    <t>Not Defined</t>
  </si>
  <si>
    <t>Specify type of animal derivatives</t>
  </si>
  <si>
    <t>Specify country/ies of origin</t>
  </si>
  <si>
    <t xml:space="preserve">Describe any heat processing used in the manufacture of this product (temperature/time): </t>
  </si>
  <si>
    <t>Made on</t>
  </si>
  <si>
    <t>Packed on</t>
  </si>
  <si>
    <t>(specify unit of measure)</t>
  </si>
  <si>
    <t xml:space="preserve"> Novel DNA &amp; /or novel protein PRESENT in GM Additive</t>
  </si>
  <si>
    <t xml:space="preserve"> Novel DNA &amp; /or novel protein PRESENT in GM processing aid</t>
  </si>
  <si>
    <t xml:space="preserve"> Novel DNA &amp; /or novel protein PRESENT in GM Food/ingredient</t>
  </si>
  <si>
    <t xml:space="preserve"> Novel DNA &amp; /or novel protein in GM Flavouring used at MORE THAN 1mg/kg</t>
  </si>
  <si>
    <t>Specify type of bird derivatives</t>
  </si>
  <si>
    <t xml:space="preserve">Specify source of bird products (i.e. Country and city): </t>
  </si>
  <si>
    <r>
      <t xml:space="preserve">Fish &amp; Fish products
</t>
    </r>
    <r>
      <rPr>
        <sz val="10"/>
        <rFont val="Arial"/>
        <family val="2"/>
      </rPr>
      <t xml:space="preserve">(e.g. smoked salmon, pilchards, shark fin, fish roe,  etc)
</t>
    </r>
  </si>
  <si>
    <t>Specify type of fish derivatives</t>
  </si>
  <si>
    <r>
      <t xml:space="preserve">Honey  &amp; Honey products
</t>
    </r>
    <r>
      <rPr>
        <sz val="10"/>
        <rFont val="Arial"/>
        <family val="2"/>
      </rPr>
      <t xml:space="preserve">
</t>
    </r>
  </si>
  <si>
    <t>NUTRIENT</t>
  </si>
  <si>
    <t>g</t>
  </si>
  <si>
    <t>Moisture</t>
  </si>
  <si>
    <t>g/ml</t>
  </si>
  <si>
    <t>Ash</t>
  </si>
  <si>
    <t>Energy</t>
  </si>
  <si>
    <t>Protein</t>
  </si>
  <si>
    <t>Fat, total</t>
  </si>
  <si>
    <t>Cholesterol</t>
  </si>
  <si>
    <t>mg/ul</t>
  </si>
  <si>
    <t>Carbohydrate</t>
  </si>
  <si>
    <t>Dietary fibre, total</t>
  </si>
  <si>
    <t>Sodium</t>
  </si>
  <si>
    <t>Potassium</t>
  </si>
  <si>
    <t xml:space="preserve">Insert any other nutrient or biologically active substance </t>
  </si>
  <si>
    <t>Difference as defined in Standard 1.2.8</t>
  </si>
  <si>
    <t>Available Carbohydrate as defined in Standard 1.2.8</t>
  </si>
  <si>
    <t>Other -  specify:</t>
  </si>
  <si>
    <t>Unknown</t>
  </si>
  <si>
    <t xml:space="preserve">Analytical – e.g. Laboratory Tested </t>
  </si>
  <si>
    <t>Theoretical – e.g. By Calculation.</t>
  </si>
  <si>
    <t>Please specify the source of data used for the theoretical calculations (e.g. Nuttab, AusNut, NZ food tables, etc)</t>
  </si>
  <si>
    <t>page 12</t>
  </si>
  <si>
    <t xml:space="preserve">No GM varieties of this food / ingredient available    </t>
  </si>
  <si>
    <t>Identity preservation program in place</t>
  </si>
  <si>
    <t>Reserved for future allergen - left blank intentionally</t>
  </si>
  <si>
    <t>naturally occurring in ingredients</t>
  </si>
  <si>
    <t>Crustacea &amp; crustacea products</t>
  </si>
  <si>
    <t>Gelatine</t>
  </si>
  <si>
    <r>
      <t xml:space="preserve">Specify only one target population for product </t>
    </r>
    <r>
      <rPr>
        <i/>
        <sz val="10"/>
        <color indexed="8"/>
        <rFont val="Arial"/>
        <family val="2"/>
      </rPr>
      <t>(selection ONLY ONE check box)</t>
    </r>
    <r>
      <rPr>
        <sz val="10"/>
        <color indexed="8"/>
        <rFont val="Arial"/>
        <family val="2"/>
      </rPr>
      <t>:</t>
    </r>
  </si>
  <si>
    <t xml:space="preserve">(Examples may include pesticide residue screen, antibiotic residue screen, heavy metal screen, aflatoxins screen, salt, acid, pH, moisture, brix, Aw, Nutrition Information Test, etc) </t>
  </si>
  <si>
    <r>
      <rPr>
        <b/>
        <sz val="10"/>
        <rFont val="Arial"/>
        <family val="2"/>
      </rPr>
      <t xml:space="preserve">SOURCE FOOD  </t>
    </r>
    <r>
      <rPr>
        <sz val="10"/>
        <rFont val="Arial"/>
        <family val="2"/>
      </rPr>
      <t xml:space="preserve"> </t>
    </r>
    <r>
      <rPr>
        <sz val="8"/>
        <rFont val="Arial"/>
        <family val="2"/>
      </rPr>
      <t>The allergenic food from which ingredient is derived (e.g. wheat)</t>
    </r>
  </si>
  <si>
    <r>
      <rPr>
        <b/>
        <sz val="10"/>
        <rFont val="Arial"/>
        <family val="2"/>
      </rPr>
      <t xml:space="preserve">SOURCE NAME  </t>
    </r>
    <r>
      <rPr>
        <sz val="10"/>
        <rFont val="Arial"/>
        <family val="2"/>
      </rPr>
      <t xml:space="preserve"> </t>
    </r>
    <r>
      <rPr>
        <sz val="8"/>
        <rFont val="Arial"/>
        <family val="2"/>
      </rPr>
      <t>The allergenic food from which ingredient is derived (e.g. wheat)</t>
    </r>
  </si>
  <si>
    <t>Specify if contains Diacetyl as flavour:</t>
  </si>
  <si>
    <t xml:space="preserve">Ivory Coast (Côte d'Ivoire) </t>
  </si>
  <si>
    <t>Indicate if the local content of ingredients/components originating from</t>
  </si>
  <si>
    <t>2.4.1  Specify the most appropriate overarching country of origin declaration which applies to this product :</t>
  </si>
  <si>
    <t>2.4.3</t>
  </si>
  <si>
    <t>2.4.4  Indicate if the following apply in determining country of origin declaration in 2.4.1:</t>
  </si>
  <si>
    <t xml:space="preserve">on average exceeds 95% </t>
  </si>
  <si>
    <t>Are any of the above allergens a substrate or feedstock in a metabolic process</t>
  </si>
  <si>
    <t>which results in the production of the ingredient?</t>
  </si>
  <si>
    <t>Contains:</t>
  </si>
  <si>
    <t xml:space="preserve">3.3.3   Including allergenic substrate/feedstock, SPECIFY the allergenic ingredients to be declared are:   </t>
  </si>
  <si>
    <t>feedstock containing GM ingredients or ingredients derived from GM micro-organisms?</t>
  </si>
  <si>
    <t>Steam sterilisation</t>
  </si>
  <si>
    <t>Ionising (gamma) irradiation</t>
  </si>
  <si>
    <t>Ethylene oxide</t>
  </si>
  <si>
    <t>Composition</t>
  </si>
  <si>
    <t xml:space="preserve"> Flavouring</t>
  </si>
  <si>
    <t xml:space="preserve"> Natural Flavouring</t>
  </si>
  <si>
    <t xml:space="preserve"> Synthetic flavouring substances</t>
  </si>
  <si>
    <t xml:space="preserve"> Natural flavouring substances</t>
  </si>
  <si>
    <t xml:space="preserve"> Thermal process flavourings</t>
  </si>
  <si>
    <t xml:space="preserve"> Smoke flavourings</t>
  </si>
  <si>
    <t xml:space="preserve">Natural     </t>
  </si>
  <si>
    <t>were VITAL ACTION levels used to determine precautionary statement?</t>
  </si>
  <si>
    <t>Provide appropriate precautionary statement for this product in box below:</t>
  </si>
  <si>
    <r>
      <rPr>
        <b/>
        <sz val="10"/>
        <rFont val="Arial"/>
        <family val="2"/>
      </rPr>
      <t>Complete nutrient table below.</t>
    </r>
    <r>
      <rPr>
        <sz val="10"/>
        <rFont val="Arial"/>
        <family val="2"/>
      </rPr>
      <t xml:space="preserve"> Mandatory nutrients highlighted in blue and bolded, others optional.</t>
    </r>
  </si>
  <si>
    <t>grams</t>
  </si>
  <si>
    <t>PER SERVE</t>
  </si>
  <si>
    <t>4  FOODS REQUIRING PRE-MARKET CLEARANCE</t>
  </si>
  <si>
    <t>4.1      NOVEL FOODS</t>
  </si>
  <si>
    <t>4.2     QUARANTINE TREATMENTS</t>
  </si>
  <si>
    <t>4.3.1</t>
  </si>
  <si>
    <t xml:space="preserve">4.3.3. Does this product contain genetically modified novel DNA or novel protein? </t>
  </si>
  <si>
    <t>4.3.4. Indicate if the following description / condition applies to the food or ingredients or not [Yes/No]</t>
  </si>
  <si>
    <t>GM CROSS CONTAMINATION IN FOODS AND INGREDIENTS</t>
  </si>
  <si>
    <r>
      <t>1.2</t>
    </r>
    <r>
      <rPr>
        <b/>
        <sz val="7"/>
        <rFont val="Times New Roman"/>
        <family val="2"/>
      </rPr>
      <t xml:space="preserve">   </t>
    </r>
    <r>
      <rPr>
        <b/>
        <sz val="10"/>
        <rFont val="Arial"/>
        <family val="2"/>
      </rPr>
      <t>MANUFACTURING INFORMATION</t>
    </r>
  </si>
  <si>
    <t>If more than three manufacturing sites, provide additional site information in Section 8.2</t>
  </si>
  <si>
    <r>
      <t>When nominating product is supplied from more than one manufacturing site,</t>
    </r>
    <r>
      <rPr>
        <sz val="10"/>
        <rFont val="Arial"/>
        <family val="2"/>
      </rPr>
      <t xml:space="preserve"> the details provided must be applicable to product coming from any of the sites. For example, if particular allergens occur at only one site then the information provided in the form should identify that the allergens are present even though batches of product made at other sites may be allergen free.</t>
    </r>
  </si>
  <si>
    <t>8.2   ADDITIONAL MANUFACTURING SITE INFORMATION (if required)</t>
  </si>
  <si>
    <t>Question    Number</t>
  </si>
  <si>
    <t>amount added (milligram/100g)</t>
  </si>
  <si>
    <t>amount added (gram/100g)</t>
  </si>
  <si>
    <t>amount added (milligram/kilogram)</t>
  </si>
  <si>
    <t>millilitre</t>
  </si>
  <si>
    <t>specific gravity if product is alcohol:</t>
  </si>
  <si>
    <t>Supplier C of C, or C of A for analysis - if applicable (Section 7)</t>
  </si>
  <si>
    <t>Current Certificates attached - if applicable (Section 3.2.3 and Section 5.2)</t>
  </si>
  <si>
    <t>(or gluten in cereals) estimated using the VITAL procedure</t>
  </si>
  <si>
    <t>Specify single strength liquid specific gravity:</t>
  </si>
  <si>
    <t>Specify liquid concentrate specific gravity:</t>
  </si>
  <si>
    <t xml:space="preserve">3.7   QUARANTINE &amp; IMPORT/EXPORT INFORMATION REQUIREMENTS </t>
  </si>
  <si>
    <t>*AFRICA</t>
  </si>
  <si>
    <t>*ASIA</t>
  </si>
  <si>
    <t>*EUROPEAN UNION</t>
  </si>
  <si>
    <t>*MIDDLE EAST</t>
  </si>
  <si>
    <t>*CENTRAL AMERICA</t>
  </si>
  <si>
    <t>*NORTH AMERICA</t>
  </si>
  <si>
    <t>*SOUTH AMERICA</t>
  </si>
  <si>
    <t>*PACIFIC</t>
  </si>
  <si>
    <t>7      SPECIFICATIONS FOR COMPLIANCE</t>
  </si>
  <si>
    <t>6       DURABILITY, PACKAGING AND SUPPLY CHAIN</t>
  </si>
  <si>
    <t>Class 3  Combustible liquid</t>
  </si>
  <si>
    <t>Class 3  Flammable liquids</t>
  </si>
  <si>
    <t>Class 2  non-flammable gases</t>
  </si>
  <si>
    <t>Class 2  Flammable gas</t>
  </si>
  <si>
    <t>Class 4  Flammable solids</t>
  </si>
  <si>
    <t>Class 4  Combustible solids</t>
  </si>
  <si>
    <t>Class 4  Dangerous when wet</t>
  </si>
  <si>
    <t>Class 5.1  Oxidizing agent</t>
  </si>
  <si>
    <t>Class 5.2  Organic peroxide</t>
  </si>
  <si>
    <t>Class 6  Toxic</t>
  </si>
  <si>
    <t>Class 8  Corrosive</t>
  </si>
  <si>
    <t xml:space="preserve">Class 9  Miscellaneous </t>
  </si>
  <si>
    <t>% of total using recycled component</t>
  </si>
  <si>
    <t>How is product transported and packaged?</t>
  </si>
  <si>
    <t xml:space="preserve">Are you a signatory to relevant packaging stewardship in Australian or NZ ? </t>
  </si>
  <si>
    <t>Are there any potential hazards associated with the product ?</t>
  </si>
  <si>
    <t>6.2.3  Is the product classified as either a Dangerous Good or a Hazardous Good ?</t>
  </si>
  <si>
    <t>BUSINESS NUMBER (ABN)</t>
  </si>
  <si>
    <r>
      <rPr>
        <b/>
        <sz val="10"/>
        <rFont val="Arial"/>
        <family val="2"/>
      </rPr>
      <t>Umbelliferae</t>
    </r>
    <r>
      <rPr>
        <sz val="10"/>
        <rFont val="Arial"/>
        <family val="2"/>
      </rPr>
      <t xml:space="preserve">  </t>
    </r>
    <r>
      <rPr>
        <sz val="10"/>
        <rFont val="Arial"/>
      </rPr>
      <t xml:space="preserve">- </t>
    </r>
    <r>
      <rPr>
        <sz val="8.5"/>
        <rFont val="Arial"/>
        <family val="2"/>
      </rPr>
      <t>aniseed, carrot, celery, celeriac, chervil, cumin, dill,  coriander, fennel, parsley, parsnip</t>
    </r>
  </si>
  <si>
    <r>
      <rPr>
        <b/>
        <sz val="10"/>
        <rFont val="Arial"/>
        <family val="2"/>
      </rPr>
      <t>Allium genus</t>
    </r>
    <r>
      <rPr>
        <sz val="10"/>
        <rFont val="Arial"/>
        <family val="2"/>
      </rPr>
      <t xml:space="preserve"> -  </t>
    </r>
    <r>
      <rPr>
        <sz val="8.5"/>
        <rFont val="Arial"/>
        <family val="2"/>
      </rPr>
      <t>chive, leek, onion, garlic, spring onion</t>
    </r>
  </si>
  <si>
    <t>other than peanut soybeans &amp; lupins</t>
  </si>
  <si>
    <t>Legumes -</t>
  </si>
  <si>
    <r>
      <rPr>
        <b/>
        <sz val="10"/>
        <rFont val="Arial"/>
        <family val="2"/>
      </rPr>
      <t xml:space="preserve">Citrus Fruits </t>
    </r>
    <r>
      <rPr>
        <sz val="10"/>
        <rFont val="Arial"/>
        <family val="2"/>
      </rPr>
      <t xml:space="preserve">- </t>
    </r>
    <r>
      <rPr>
        <sz val="8.5"/>
        <rFont val="Arial"/>
        <family val="2"/>
      </rPr>
      <t>grapefruit, lemon, lime, orange</t>
    </r>
  </si>
  <si>
    <r>
      <rPr>
        <b/>
        <sz val="10"/>
        <rFont val="Arial"/>
        <family val="2"/>
      </rPr>
      <t xml:space="preserve">Berry Fruits - </t>
    </r>
    <r>
      <rPr>
        <sz val="10"/>
        <rFont val="Arial"/>
        <family val="2"/>
      </rPr>
      <t xml:space="preserve"> </t>
    </r>
    <r>
      <rPr>
        <sz val="8.5"/>
        <rFont val="Arial"/>
        <family val="2"/>
      </rPr>
      <t>blueberry, kiwifruit, strawberry</t>
    </r>
  </si>
  <si>
    <r>
      <rPr>
        <b/>
        <sz val="10"/>
        <rFont val="Arial"/>
        <family val="2"/>
      </rPr>
      <t xml:space="preserve">Stone fruit - </t>
    </r>
    <r>
      <rPr>
        <sz val="10"/>
        <rFont val="Arial"/>
        <family val="2"/>
      </rPr>
      <t xml:space="preserve">   </t>
    </r>
    <r>
      <rPr>
        <sz val="8.5"/>
        <rFont val="Arial"/>
        <family val="2"/>
      </rPr>
      <t>cherry, peach, plum, apricot.</t>
    </r>
  </si>
  <si>
    <r>
      <rPr>
        <b/>
        <sz val="10"/>
        <rFont val="Arial"/>
        <family val="2"/>
      </rPr>
      <t xml:space="preserve">Pome fruit </t>
    </r>
    <r>
      <rPr>
        <sz val="10"/>
        <rFont val="Arial"/>
        <family val="2"/>
      </rPr>
      <t xml:space="preserve">-    </t>
    </r>
    <r>
      <rPr>
        <sz val="8.5"/>
        <rFont val="Arial"/>
        <family val="2"/>
      </rPr>
      <t>apples, pears</t>
    </r>
  </si>
  <si>
    <t>advice on how to use the form.</t>
  </si>
  <si>
    <r>
      <rPr>
        <sz val="8"/>
        <rFont val="Arial"/>
        <family val="2"/>
      </rPr>
      <t>Derivative</t>
    </r>
    <r>
      <rPr>
        <b/>
        <sz val="8"/>
        <rFont val="Arial"/>
        <family val="2"/>
      </rPr>
      <t xml:space="preserve"> </t>
    </r>
    <r>
      <rPr>
        <sz val="8"/>
        <rFont val="Arial"/>
        <family val="2"/>
      </rPr>
      <t xml:space="preserve">in product </t>
    </r>
  </si>
  <si>
    <r>
      <rPr>
        <sz val="8.5"/>
        <rFont val="Arial"/>
        <family val="2"/>
      </rPr>
      <t xml:space="preserve">Specify type of animals </t>
    </r>
    <r>
      <rPr>
        <i/>
        <sz val="8"/>
        <rFont val="Arial"/>
        <family val="2"/>
      </rPr>
      <t>(tick appropriate box)</t>
    </r>
  </si>
  <si>
    <r>
      <rPr>
        <sz val="8.5"/>
        <rFont val="Arial"/>
        <family val="2"/>
      </rPr>
      <t xml:space="preserve">Specify type of birds  </t>
    </r>
    <r>
      <rPr>
        <sz val="8"/>
        <rFont val="Arial"/>
        <family val="2"/>
      </rPr>
      <t xml:space="preserve"> </t>
    </r>
    <r>
      <rPr>
        <i/>
        <sz val="8"/>
        <rFont val="Arial"/>
        <family val="2"/>
      </rPr>
      <t>(tick appropriate box</t>
    </r>
    <r>
      <rPr>
        <sz val="8"/>
        <rFont val="Arial"/>
        <family val="2"/>
      </rPr>
      <t xml:space="preserve">) </t>
    </r>
  </si>
  <si>
    <t>Specify plastic coding symbol number</t>
  </si>
  <si>
    <t>5.1.4  Additional supporting information</t>
  </si>
  <si>
    <t>Insert current certificates or documen ts into this workpage relevant to support information provided in PIF</t>
  </si>
  <si>
    <t>or alternatively provide the certificates or documents separately as attachments with the PIF</t>
  </si>
  <si>
    <t>Certifcates and supporting documents</t>
  </si>
  <si>
    <t>PIF 5 is supported by the PIF 5.0 User Guide 2011 which contains detailed</t>
  </si>
  <si>
    <t xml:space="preserve">3.4.4  Does the possibility remain that after undertaking control actions specified in 3.2.4 </t>
  </si>
  <si>
    <t>above that particulate cross contact allergenic material will still be present in product ?</t>
  </si>
  <si>
    <t>TOTAL PROTEIN**</t>
  </si>
  <si>
    <r>
      <t xml:space="preserve">FSC ADDITIVE NUMBER          OR EC </t>
    </r>
    <r>
      <rPr>
        <i/>
        <sz val="8"/>
        <rFont val="Arial"/>
        <family val="2"/>
      </rPr>
      <t>(as applicable)</t>
    </r>
  </si>
  <si>
    <t xml:space="preserve">**Refer to VITAL procedure and decision tree. </t>
  </si>
  <si>
    <t xml:space="preserve">4.3.2. Are there any ingredients or additives or processing aids that has altered characteristics? </t>
  </si>
  <si>
    <r>
      <t xml:space="preserve">Please specify the </t>
    </r>
    <r>
      <rPr>
        <b/>
        <sz val="9"/>
        <color indexed="9"/>
        <rFont val="Arial"/>
        <family val="2"/>
      </rPr>
      <t>serve size</t>
    </r>
    <r>
      <rPr>
        <sz val="9"/>
        <color indexed="9"/>
        <rFont val="Arial"/>
        <family val="2"/>
      </rPr>
      <t xml:space="preserve"> for this as a finished product:</t>
    </r>
  </si>
  <si>
    <t>Nutrition Information Text Calculator</t>
  </si>
  <si>
    <t>&amp; soybean products    (including soybean oils)</t>
  </si>
  <si>
    <t>&amp; fish products
(including mollusc extract     and fish oils)</t>
  </si>
  <si>
    <t xml:space="preserve"> Is cross contact allergen present in particulate form in the facility or on same lines?</t>
  </si>
  <si>
    <t>IF MSDS data on internet, specify website:</t>
  </si>
  <si>
    <r>
      <t>specify class of dangerous goods:</t>
    </r>
    <r>
      <rPr>
        <b/>
        <sz val="9"/>
        <rFont val="Arial"/>
        <family val="2"/>
      </rPr>
      <t/>
    </r>
  </si>
  <si>
    <t>Specify all ingredients including food additives in descending order, including percentage labelling of characterising components or ingredients.  Compound substances must specify all ingredients and additives present and the characterising ingredient or component. Food additives must specify a functional class name and the food additive name or code number [e.g. antioxidants (304, 306), or food acid (citric)]</t>
  </si>
  <si>
    <t>Specify the type of the components present in product (Tick ONLY ONE check box below)</t>
  </si>
  <si>
    <t xml:space="preserve">on average exceeds 50% </t>
  </si>
  <si>
    <t xml:space="preserve">Specify which best describes the product </t>
  </si>
  <si>
    <t>Specify the intended use of the product</t>
  </si>
  <si>
    <t>PERMITTED USE AND CLASS NAME</t>
  </si>
  <si>
    <t>3.3   INGREDIENTS TO BE DECLARED AS ALLERGENS OR SULPHITE</t>
  </si>
  <si>
    <t xml:space="preserve">3.2.2   </t>
  </si>
  <si>
    <t>Does the facility have a Food Safety Program?</t>
  </si>
  <si>
    <t>Does the facility have a documented allergen management plan?</t>
  </si>
  <si>
    <t>IF YES, does this include the management of cross contact allergens?</t>
  </si>
  <si>
    <t>Has processing rendered this GLUTEN FREE (no detectable gluten)?</t>
  </si>
  <si>
    <t>Has processing rendered this FREE OF WHEAT PROTEINS ?</t>
  </si>
  <si>
    <t>&amp; sesame seed products (including sesame oils)</t>
  </si>
  <si>
    <t>are allergenic proteins fully removed or fully metabolised from affected ingredient?</t>
  </si>
  <si>
    <t>NAME OF FOOD</t>
  </si>
  <si>
    <t>DERIVATIVE NAME</t>
  </si>
  <si>
    <t>(Yes/No)</t>
  </si>
  <si>
    <t>(e.g. apple)</t>
  </si>
  <si>
    <t>(e.g. cider vinegar)</t>
  </si>
  <si>
    <t>Yeast &amp; Yeast Products</t>
  </si>
  <si>
    <t xml:space="preserve"> (including yeast extracts)</t>
  </si>
  <si>
    <t>Tick box if hydrolysed or autolysed</t>
  </si>
  <si>
    <t>Tick box if herb / herb extract</t>
  </si>
  <si>
    <t>Tick box if spice / spice extract</t>
  </si>
  <si>
    <t>(excluding mustard)</t>
  </si>
  <si>
    <t>Shellfish (Mollusc)</t>
  </si>
  <si>
    <t xml:space="preserve">Has fatty acid composition been altered? </t>
  </si>
  <si>
    <t>Specify types   of fats and oils:</t>
  </si>
  <si>
    <t>Specify the process used to alter composition:</t>
  </si>
  <si>
    <t>If Palm oil is present, is this RSPO certified?</t>
  </si>
  <si>
    <t xml:space="preserve">Added Caffeine                 </t>
  </si>
  <si>
    <t>(exclude naturally occurring )</t>
  </si>
  <si>
    <t>Other antioxidants</t>
  </si>
  <si>
    <t>Enzyme    Hydrolysed</t>
  </si>
  <si>
    <t xml:space="preserve"> Natural flavouring complexes/preparations</t>
  </si>
  <si>
    <t xml:space="preserve"> Other flavouring</t>
  </si>
  <si>
    <t xml:space="preserve"> Flavouring precursors</t>
  </si>
  <si>
    <t>status</t>
  </si>
  <si>
    <t xml:space="preserve">Specify overall </t>
  </si>
  <si>
    <t>Are there any ingredients (including food additives, processing aids and enzymes) in this product that come from genetically modified (GM) plants or animals, or are the result of synthesis by GM micro-organisms, but with the exemption of use of GM feedstock?</t>
  </si>
  <si>
    <t>SPECIAL CONDITIONS FOR USE AND LABELLING DECLARATIONS REQUIRED</t>
  </si>
  <si>
    <r>
      <rPr>
        <sz val="10"/>
        <rFont val="Arial"/>
        <family val="2"/>
      </rPr>
      <t xml:space="preserve">4.3.7. </t>
    </r>
    <r>
      <rPr>
        <b/>
        <sz val="10"/>
        <rFont val="Arial"/>
        <family val="2"/>
      </rPr>
      <t xml:space="preserve"> </t>
    </r>
    <r>
      <rPr>
        <sz val="10"/>
        <rFont val="Arial"/>
        <family val="2"/>
      </rPr>
      <t>Is this a raw/bulk commodity which is transported by freight/tanker AND where the</t>
    </r>
  </si>
  <si>
    <r>
      <rPr>
        <sz val="10"/>
        <rFont val="Arial"/>
        <family val="2"/>
      </rPr>
      <t>4.3.8.</t>
    </r>
    <r>
      <rPr>
        <b/>
        <sz val="10"/>
        <rFont val="Arial"/>
        <family val="2"/>
      </rPr>
      <t xml:space="preserve">  </t>
    </r>
    <r>
      <rPr>
        <sz val="10"/>
        <rFont val="Arial"/>
        <family val="2"/>
      </rPr>
      <t xml:space="preserve">Is this product manufactured or stored at a production site where genetically  </t>
    </r>
  </si>
  <si>
    <t xml:space="preserve">4.3.9.  Is there an identity preservation system separating non GM and GM components  </t>
  </si>
  <si>
    <t>4.3.10.  Has Polymerase Chain Reaction (PCR) testing for GM materials been carried out?</t>
  </si>
  <si>
    <t xml:space="preserve">4.3.11.  Is any GM food or GM ingredient unintentionally present at MORE THAN 10g/kg </t>
  </si>
  <si>
    <r>
      <t xml:space="preserve">4.3.12. (OPTIONAL) Are any ingredients derived from an </t>
    </r>
    <r>
      <rPr>
        <u/>
        <sz val="10"/>
        <rFont val="Arial"/>
        <family val="2"/>
      </rPr>
      <t>animal</t>
    </r>
    <r>
      <rPr>
        <sz val="10"/>
        <rFont val="Arial"/>
        <family val="2"/>
      </rPr>
      <t xml:space="preserve"> which has been fed with</t>
    </r>
  </si>
  <si>
    <t>residual from processing aid, or carry-over in ingredient</t>
  </si>
  <si>
    <t>MSDU class</t>
  </si>
  <si>
    <t xml:space="preserve">ATTACH MATERIAL SAFETY DATA SHEET </t>
  </si>
  <si>
    <t>OTHERWISE</t>
  </si>
  <si>
    <r>
      <t>5</t>
    </r>
    <r>
      <rPr>
        <b/>
        <sz val="7"/>
        <color indexed="9"/>
        <rFont val="Times New Roman"/>
        <family val="2"/>
      </rPr>
      <t xml:space="preserve">                     </t>
    </r>
    <r>
      <rPr>
        <b/>
        <sz val="12"/>
        <color indexed="9"/>
        <rFont val="Arial"/>
        <family val="2"/>
      </rPr>
      <t>NUTRIENTS &amp; CONSUMER INFORMATION CLAIMS</t>
    </r>
  </si>
  <si>
    <t>5.1 NUTRITION INFORMATION</t>
  </si>
  <si>
    <t>5.1.1</t>
  </si>
  <si>
    <r>
      <t xml:space="preserve">5.1.2  For nutrition information below, please specify the </t>
    </r>
    <r>
      <rPr>
        <b/>
        <sz val="10"/>
        <rFont val="Arial"/>
        <family val="2"/>
      </rPr>
      <t>UNITS of measure</t>
    </r>
    <r>
      <rPr>
        <sz val="10"/>
        <rFont val="Arial"/>
        <family val="2"/>
      </rPr>
      <t>:</t>
    </r>
  </si>
  <si>
    <t>5.1.3 Additional nutrients - vitamins, minerals and other nutritive substances</t>
  </si>
  <si>
    <t xml:space="preserve">5.1.5  Please specify how the carbohydrate value has been determined:  </t>
  </si>
  <si>
    <t>5.1.6  Please nominate the source used to provide nutrition data in the tables above</t>
  </si>
  <si>
    <t>5.2       SUITABILITY TO MAKE CERTAIN CLAIMS</t>
  </si>
  <si>
    <t>6.2.1   Are there any potential hazards associated with the product?</t>
  </si>
  <si>
    <t>transport</t>
  </si>
  <si>
    <t>storage</t>
  </si>
  <si>
    <t>disposal</t>
  </si>
  <si>
    <t>handling</t>
  </si>
  <si>
    <t>Please provide any general comments about the traceability coding used on the product:</t>
  </si>
  <si>
    <r>
      <t>Type of Primary Coding           (</t>
    </r>
    <r>
      <rPr>
        <i/>
        <sz val="9"/>
        <rFont val="Arial"/>
        <family val="2"/>
      </rPr>
      <t>Please TICK as appropriate</t>
    </r>
    <r>
      <rPr>
        <sz val="10"/>
        <rFont val="Arial"/>
        <family val="2"/>
      </rPr>
      <t xml:space="preserve">) </t>
    </r>
  </si>
  <si>
    <t>Date code</t>
  </si>
  <si>
    <t>Batch number</t>
  </si>
  <si>
    <t>Product code</t>
  </si>
  <si>
    <t>Lot number</t>
  </si>
  <si>
    <t xml:space="preserve">Section 4 - Foods requiring pre-market clearance </t>
  </si>
  <si>
    <t>Section 5 - Nutrients &amp; consumer information claims</t>
  </si>
  <si>
    <t>e.g. wheat maltodextrin]</t>
  </si>
  <si>
    <t xml:space="preserve">Cereals containing gluten and their products         </t>
  </si>
  <si>
    <t>[wheat, rye, barley, oats, spelt &amp; derived product</t>
  </si>
  <si>
    <r>
      <t>DERIVATIVE NAME</t>
    </r>
    <r>
      <rPr>
        <sz val="10"/>
        <rFont val="Arial"/>
        <family val="2"/>
      </rPr>
      <t xml:space="preserve">  </t>
    </r>
    <r>
      <rPr>
        <sz val="8"/>
        <rFont val="Arial"/>
        <family val="2"/>
      </rPr>
      <t>Ingredient, additive or processing aid  (e.g. maltodextrin)</t>
    </r>
  </si>
  <si>
    <t>ADDITIONAL GM LABELLING REQUIRED AS SPECIFIED IN TABLE TO CLAUSE 2</t>
  </si>
  <si>
    <t>Are results positive and show GM DNA or Novel Protein is detected?</t>
  </si>
  <si>
    <t xml:space="preserve">to ensure the absence of genetically modified material in this product? </t>
  </si>
  <si>
    <r>
      <t xml:space="preserve">WARRANTY: </t>
    </r>
    <r>
      <rPr>
        <b/>
        <sz val="7"/>
        <rFont val="Arial"/>
        <family val="2"/>
      </rPr>
      <t xml:space="preserve"> </t>
    </r>
    <r>
      <rPr>
        <sz val="7"/>
        <rFont val="Arial"/>
        <family val="2"/>
      </rPr>
      <t xml:space="preserve">This document is intended as a guide only: legal requirements are contained in the Food Standards Code and relevant food legislation and other applicable laws.  The information in this document should not be relied upon as legal advice or used as a substitute for legal advice. You should exercise your own skill, care and judgement before relying on this information in any important matter.  </t>
    </r>
  </si>
  <si>
    <t>Butylated hydroxyanisole (BHA)</t>
  </si>
  <si>
    <t>Butylated hydroxytoluene (BHT)</t>
  </si>
  <si>
    <t xml:space="preserve">Go to Question 4.3.7 and continue </t>
  </si>
  <si>
    <t>4.3.5.  Does the GM food or ingredient have ADDITIONAL labelling requirements?</t>
  </si>
  <si>
    <t>4.3.6.  Are  GM components listed in Standard 1.5.2 or processing aids in Standard 1.3.3 ?</t>
  </si>
  <si>
    <r>
      <t xml:space="preserve">4.3     FOOD PRODUCED USING GENE TECHNOLOGY </t>
    </r>
    <r>
      <rPr>
        <sz val="10"/>
        <rFont val="Arial"/>
        <family val="2"/>
      </rPr>
      <t>(Standard 1.5.2)</t>
    </r>
  </si>
  <si>
    <t xml:space="preserve">6.2.2  Specify if hazards occur during: </t>
  </si>
  <si>
    <t>Has unit packaging been assessed for migration of substances into food?</t>
  </si>
  <si>
    <t>have sustainable packaging reporting requirements been met?</t>
  </si>
  <si>
    <t>provide name of Certifying Body</t>
  </si>
  <si>
    <t>Single component product can only have 1 component</t>
  </si>
  <si>
    <t>Limit of 40 components</t>
  </si>
  <si>
    <t>IF NO, SPECIFY DATE to implement allergen management plan:</t>
  </si>
  <si>
    <t xml:space="preserve">3.3.3   Except for allergenic substrate/feedstock, SPECIFY the OTHER allergenic ingredients to be declared:          </t>
  </si>
  <si>
    <t>3.3.3   Based on Section 3.3, SPECIFY allergenic ingredients to be declared:</t>
  </si>
  <si>
    <t>complete ALL columns with respect to the potential cross contact allergens based on information received through YOUR supply chain AND YOUR manufacturing processes.</t>
  </si>
  <si>
    <t>estimated using the VITAL procedure</t>
  </si>
  <si>
    <t>Where ACTION LEVEL 2 is indicated, please provide appropriate precautionary statement:</t>
  </si>
  <si>
    <t>If “Yes”, then go to 4.3.2.</t>
  </si>
  <si>
    <t>Novel DNA &amp; /or novel protein ABSENT from GM Food/ingredient</t>
  </si>
  <si>
    <t>Highly refined GM Food/ingredient to REMOVE novel DNA &amp; /or novel protein</t>
  </si>
  <si>
    <t>Novel DNA &amp; /or novel protein ABSENT from GM Additive</t>
  </si>
  <si>
    <t>Novel DNA &amp; /or novel protein ABSENT from GM processing aid</t>
  </si>
  <si>
    <t>Novel DNA &amp; /or novel protein in GM Flavouring used at 1mg/kg OR LESS</t>
  </si>
  <si>
    <t>IF YES, specify the approval from clause 2 of Std 1.5.2 or clause 17 of Std 1.3.3</t>
  </si>
  <si>
    <t>EXEMPTION TO LABELLING APPLIES AND GM LABELLING IS NOT REQUIRED</t>
  </si>
  <si>
    <t>EXEMPTION NOT SUBSTATIATED, GM LABELLING IS REQUIRED</t>
  </si>
  <si>
    <t>DO NOT leave bolded NIP fields blank.  Use numbers, or text "less than" with value; or "unavailable" or "not detected" for gluten.</t>
  </si>
  <si>
    <t>Nutrient information as per 100g DRAINED PRODUCT</t>
  </si>
  <si>
    <t>To 100mL concentrate add</t>
  </si>
  <si>
    <t xml:space="preserve">Reconstitution rate: </t>
  </si>
  <si>
    <t>To 100g of product add</t>
  </si>
  <si>
    <t>Select ONLY ONE population group:</t>
  </si>
  <si>
    <t>Please provide details as appropriate in Section 6.5 - Tracking</t>
  </si>
  <si>
    <t>For freight/tanker transported product, go to Section 7.0</t>
  </si>
  <si>
    <t>Herbs</t>
  </si>
  <si>
    <t xml:space="preserve">Other – Specify </t>
  </si>
  <si>
    <t xml:space="preserve">Specify details: </t>
  </si>
  <si>
    <t>Drained Weight (if applicable)</t>
  </si>
  <si>
    <t>UNIT</t>
  </si>
  <si>
    <t>SHIPPER (if applicable)</t>
  </si>
  <si>
    <t>(Examples may include particle size, shape, specific gravity, metal detection, foreign matter tolerances, physical defect tolerances etc as appropriate for the product)</t>
  </si>
  <si>
    <t>TEST / PARAMETER</t>
  </si>
  <si>
    <t>SPECIFICATION</t>
  </si>
  <si>
    <t>TEST METHOD</t>
  </si>
  <si>
    <t>(Examples may include flavour, colour, aroma, texture etc)</t>
  </si>
  <si>
    <t>(Examples may include standard plate count, yeasts &amp; moulds, coliforms, salmonella, listeria etc)</t>
  </si>
  <si>
    <t>8  COMMENTS / ADDITIONAL INFORMATION</t>
  </si>
  <si>
    <t>The End</t>
  </si>
  <si>
    <t>France</t>
  </si>
  <si>
    <t>Measure</t>
  </si>
  <si>
    <t xml:space="preserve">COMPONENT NAME </t>
  </si>
  <si>
    <t>COMPOUND SUBSTANCE INGREDIENTS</t>
  </si>
  <si>
    <t>How many components are in this product?</t>
  </si>
  <si>
    <r>
      <rPr>
        <b/>
        <sz val="10"/>
        <rFont val="Arial"/>
        <family val="2"/>
      </rPr>
      <t>Crustacea</t>
    </r>
    <r>
      <rPr>
        <sz val="10"/>
        <rFont val="Arial"/>
        <family val="2"/>
      </rPr>
      <t xml:space="preserve"> &amp; crustacea products</t>
    </r>
  </si>
  <si>
    <r>
      <rPr>
        <b/>
        <sz val="10"/>
        <rFont val="Arial"/>
        <family val="2"/>
      </rPr>
      <t>Egg</t>
    </r>
    <r>
      <rPr>
        <sz val="10"/>
        <rFont val="Arial"/>
        <family val="2"/>
      </rPr>
      <t xml:space="preserve"> &amp; egg products</t>
    </r>
  </si>
  <si>
    <t>3         COMPOSITIONAL INFORMATION</t>
  </si>
  <si>
    <t>%</t>
  </si>
  <si>
    <t>ADDITIONAL INFORMATION 
TO BE PROVIDED WHERE PROMPTED</t>
  </si>
  <si>
    <t>Gluten</t>
  </si>
  <si>
    <t xml:space="preserve">AVG QUANTITY </t>
  </si>
  <si>
    <t>per 100</t>
  </si>
  <si>
    <t>kJ</t>
  </si>
  <si>
    <t>mg</t>
  </si>
  <si>
    <t>% DI per serve</t>
  </si>
  <si>
    <t>- saturated</t>
  </si>
  <si>
    <t>- transfat</t>
  </si>
  <si>
    <t>- polyunsaturated</t>
  </si>
  <si>
    <t>- monounsaturated</t>
  </si>
  <si>
    <t>PLEASE ONLY SELECT ONE BOX ABOVE</t>
  </si>
  <si>
    <t>COMPONENT TYPE</t>
  </si>
  <si>
    <t>7.2 PHYSICAL SPECIFICATIONS</t>
  </si>
  <si>
    <t>Specify type of animals</t>
  </si>
  <si>
    <t>Young Children</t>
  </si>
  <si>
    <t>Vit-Infant</t>
  </si>
  <si>
    <t>Min-Infant RDI</t>
  </si>
  <si>
    <t>Infants</t>
  </si>
  <si>
    <t>HOW HAS THIS BEEN VALIDATED?</t>
  </si>
  <si>
    <t>NAME OF SUBSTANCE</t>
  </si>
  <si>
    <r>
      <rPr>
        <b/>
        <sz val="10"/>
        <rFont val="Arial"/>
        <family val="2"/>
      </rPr>
      <t xml:space="preserve">ALLERGENIC SUBSTANCE       </t>
    </r>
    <r>
      <rPr>
        <sz val="10"/>
        <rFont val="Arial"/>
        <family val="2"/>
      </rPr>
      <t/>
    </r>
  </si>
  <si>
    <t xml:space="preserve">ALLERGENIC SUBSTANCE     </t>
  </si>
  <si>
    <t>7.4  CHEMICAL SPECIFICATIONS</t>
  </si>
  <si>
    <t>7.1 ORGANOLEPTIC  SPECIFICATIONS</t>
  </si>
  <si>
    <t>7.3 MICROBIOLOGICAL SPECIFICATIONS</t>
  </si>
  <si>
    <t>8.1  Do you have any comments or additional information ?</t>
  </si>
  <si>
    <t>USE BY is NOT applicable for long shelf life product</t>
  </si>
  <si>
    <t>Refer to AFGC Date Marking Guide</t>
  </si>
  <si>
    <t>Check box</t>
  </si>
  <si>
    <t>Transport / delivery</t>
  </si>
  <si>
    <t>Bulk/wholesale package, not individually packaged</t>
  </si>
  <si>
    <t>Packaged for catering/manufacturing supply</t>
  </si>
  <si>
    <t>Packaged in retail-ready packs</t>
  </si>
  <si>
    <t>Freight or tanker transport of unpackaged product</t>
  </si>
  <si>
    <t>°C</t>
  </si>
  <si>
    <t>Are tamper evident controls included in the packaging design?</t>
  </si>
  <si>
    <t>Metal</t>
  </si>
  <si>
    <t>Plastics</t>
  </si>
  <si>
    <t>Packing materials</t>
  </si>
  <si>
    <t>Specify components / material used in packaging</t>
  </si>
  <si>
    <t>PACKAGING</t>
  </si>
  <si>
    <t>SHIPPER</t>
  </si>
  <si>
    <t xml:space="preserve">UNIT </t>
  </si>
  <si>
    <t>Paper / cardboard</t>
  </si>
  <si>
    <t>Country:</t>
  </si>
  <si>
    <t>Other statement</t>
  </si>
  <si>
    <t xml:space="preserve">The PRODUCT has undergone substantial transformation </t>
  </si>
  <si>
    <t>50% or more of total product costs are incurred in the country stated</t>
  </si>
  <si>
    <t>TREATMENT METHOD</t>
  </si>
  <si>
    <t>USED ON ANY COMPONENT</t>
  </si>
  <si>
    <t>SPECIFY TREATED INGREDIENT</t>
  </si>
  <si>
    <t>Other fumigants or sterilants</t>
  </si>
  <si>
    <t>Specify substance used</t>
  </si>
  <si>
    <t>Made in (with local &amp; imported ingredients)</t>
  </si>
  <si>
    <t>Made in (with imported &amp; local ingredients)</t>
  </si>
  <si>
    <t>or</t>
  </si>
  <si>
    <r>
      <t xml:space="preserve"> product is</t>
    </r>
    <r>
      <rPr>
        <b/>
        <sz val="10"/>
        <rFont val="Arial"/>
        <family val="2"/>
      </rPr>
      <t xml:space="preserve"> a single component </t>
    </r>
    <r>
      <rPr>
        <sz val="10"/>
        <rFont val="Arial"/>
        <family val="2"/>
      </rPr>
      <t>substance</t>
    </r>
  </si>
  <si>
    <r>
      <t xml:space="preserve"> product contains ingredients, which may include </t>
    </r>
    <r>
      <rPr>
        <b/>
        <sz val="10"/>
        <rFont val="Arial"/>
        <family val="2"/>
      </rPr>
      <t>compound</t>
    </r>
    <r>
      <rPr>
        <sz val="10"/>
        <rFont val="Arial"/>
        <family val="2"/>
      </rPr>
      <t xml:space="preserve"> substances</t>
    </r>
  </si>
  <si>
    <t>Specify COMPONENT TYPE and number of components</t>
  </si>
  <si>
    <t>MANDATORY input boxes which are not complete will now be coloured dark purple.</t>
  </si>
  <si>
    <t>folate  @women</t>
  </si>
  <si>
    <t xml:space="preserve">Vegan  </t>
  </si>
  <si>
    <t>Name of sweetener</t>
  </si>
  <si>
    <t>Nutrient information table INCOMPLETE</t>
  </si>
  <si>
    <r>
      <t>°C</t>
    </r>
    <r>
      <rPr>
        <b/>
        <sz val="12"/>
        <color indexed="9"/>
        <rFont val="Arial"/>
        <family val="2"/>
      </rPr>
      <t/>
    </r>
  </si>
  <si>
    <r>
      <rPr>
        <b/>
        <sz val="10"/>
        <color indexed="8"/>
        <rFont val="Arial"/>
        <family val="2"/>
      </rPr>
      <t xml:space="preserve">PRODUCT AS SUPPLIED </t>
    </r>
    <r>
      <rPr>
        <sz val="10"/>
        <color indexed="8"/>
        <rFont val="Arial"/>
        <family val="2"/>
      </rPr>
      <t xml:space="preserve"> unopened pack or bulk container</t>
    </r>
  </si>
  <si>
    <r>
      <rPr>
        <b/>
        <sz val="10"/>
        <color indexed="8"/>
        <rFont val="Arial"/>
        <family val="2"/>
      </rPr>
      <t xml:space="preserve">PRODUCT - ONCE IN USE  </t>
    </r>
    <r>
      <rPr>
        <sz val="10"/>
        <color indexed="8"/>
        <rFont val="Arial"/>
        <family val="2"/>
      </rPr>
      <t xml:space="preserve"> resealable pack or bulk container</t>
    </r>
  </si>
  <si>
    <r>
      <t>IF YES,</t>
    </r>
    <r>
      <rPr>
        <sz val="10"/>
        <color indexed="9"/>
        <rFont val="Arial"/>
        <family val="2"/>
      </rPr>
      <t/>
    </r>
  </si>
  <si>
    <t>specify type of nanomaterial:</t>
  </si>
  <si>
    <t>Ceramic</t>
  </si>
  <si>
    <t>Complete the following table for questions related to packaging of unit package and/or shipper</t>
  </si>
  <si>
    <t xml:space="preserve">SPECIFY PARTICULAR CLAIMS </t>
  </si>
  <si>
    <t>USES ENGINEERED NANOPARTICLE ?</t>
  </si>
  <si>
    <t>Seal</t>
  </si>
  <si>
    <t>What is the seal method?</t>
  </si>
  <si>
    <t>Dimensions</t>
  </si>
  <si>
    <t xml:space="preserve">Are engineered nanoparticles present in unit packaging? </t>
  </si>
  <si>
    <t>Time</t>
  </si>
  <si>
    <t>Days</t>
  </si>
  <si>
    <t>Weeks</t>
  </si>
  <si>
    <t>Months</t>
  </si>
  <si>
    <t>Substance condition</t>
  </si>
  <si>
    <t xml:space="preserve">IF AQS is used, what is the statistical variance in the fill measurement? </t>
  </si>
  <si>
    <t>thiamin</t>
  </si>
  <si>
    <t>riboflavin</t>
  </si>
  <si>
    <t xml:space="preserve">niacin  </t>
  </si>
  <si>
    <t>vitamin B6</t>
  </si>
  <si>
    <t>vitamin E</t>
  </si>
  <si>
    <t>folate</t>
  </si>
  <si>
    <t xml:space="preserve">iron  </t>
  </si>
  <si>
    <t xml:space="preserve">magnesium </t>
  </si>
  <si>
    <t>zinc</t>
  </si>
  <si>
    <t>Vitamin</t>
  </si>
  <si>
    <t>Mineral</t>
  </si>
  <si>
    <t>calcium</t>
  </si>
  <si>
    <t>vitamin C</t>
  </si>
  <si>
    <t>vitamin A</t>
  </si>
  <si>
    <t>vitamin D</t>
  </si>
  <si>
    <t>phosphorus</t>
  </si>
  <si>
    <t>vitamin B12</t>
  </si>
  <si>
    <t>iodine</t>
  </si>
  <si>
    <t>pantothenic acid</t>
  </si>
  <si>
    <t>selenium</t>
  </si>
  <si>
    <t>ug</t>
  </si>
  <si>
    <t>Specify the type of pallet</t>
  </si>
  <si>
    <t>Wooden</t>
  </si>
  <si>
    <t>Plastic</t>
  </si>
  <si>
    <t>Other</t>
  </si>
  <si>
    <t>Column stack</t>
  </si>
  <si>
    <t>Interlocking</t>
  </si>
  <si>
    <t xml:space="preserve">What is the pallet pattern </t>
  </si>
  <si>
    <t>Glass</t>
  </si>
  <si>
    <t>6.1.2</t>
  </si>
  <si>
    <r>
      <rPr>
        <b/>
        <sz val="10"/>
        <rFont val="Arial"/>
        <family val="2"/>
      </rPr>
      <t xml:space="preserve">Milk </t>
    </r>
    <r>
      <rPr>
        <sz val="10"/>
        <rFont val="Arial"/>
        <family val="2"/>
      </rPr>
      <t>&amp; milk products</t>
    </r>
  </si>
  <si>
    <r>
      <rPr>
        <b/>
        <sz val="10"/>
        <rFont val="Arial"/>
        <family val="2"/>
      </rPr>
      <t>Peanut</t>
    </r>
    <r>
      <rPr>
        <sz val="10"/>
        <rFont val="Arial"/>
        <family val="2"/>
      </rPr>
      <t xml:space="preserve"> &amp; peanut products</t>
    </r>
  </si>
  <si>
    <t>Amount (mg/kg)</t>
  </si>
  <si>
    <t>Number</t>
  </si>
  <si>
    <t>Specify type of vegetable protein:</t>
  </si>
  <si>
    <t>Name of preservative</t>
  </si>
  <si>
    <t>ANY OTHER COMPONENT</t>
  </si>
  <si>
    <t>Specify type of meat derivatives</t>
  </si>
  <si>
    <t xml:space="preserve">Specify source of meat products (i.e. Country and city): </t>
  </si>
  <si>
    <t>Years</t>
  </si>
  <si>
    <t>Please specify the following where applicable:</t>
  </si>
  <si>
    <t>Date Marking</t>
  </si>
  <si>
    <t>Baked on</t>
  </si>
  <si>
    <t>Use by</t>
  </si>
  <si>
    <t>Specify the type of date mark to be used:</t>
  </si>
  <si>
    <t>Specify shelf life</t>
  </si>
  <si>
    <t>Temperature control  during storage</t>
  </si>
  <si>
    <t>Specify range:</t>
  </si>
  <si>
    <t>Is required ?</t>
  </si>
  <si>
    <t>Temperature control  during transport</t>
  </si>
  <si>
    <t>Please complete the following details:</t>
  </si>
  <si>
    <t xml:space="preserve">Specify source of fish products (i.e. Country and city): </t>
  </si>
  <si>
    <t>Specify type of honey or honey derivatives</t>
  </si>
  <si>
    <t xml:space="preserve">Specify source of honey products (i.e. Country and State): </t>
  </si>
  <si>
    <t>Name of flavour enhancer</t>
  </si>
  <si>
    <t>AVG QUANTITY per 100</t>
  </si>
  <si>
    <t>If Yes</t>
  </si>
  <si>
    <t>Specify type:</t>
  </si>
  <si>
    <t>cm</t>
  </si>
  <si>
    <t>kg</t>
  </si>
  <si>
    <t>Date packed</t>
  </si>
  <si>
    <t>BARCODE -           UNIT GTIN</t>
  </si>
  <si>
    <t>SUPPLIER’S PRODUCT NAME</t>
  </si>
  <si>
    <t xml:space="preserve">units per shipper </t>
  </si>
  <si>
    <t>Number of :</t>
  </si>
  <si>
    <t>shippers per pallet</t>
  </si>
  <si>
    <t>layers per pallet</t>
  </si>
  <si>
    <t>SPECIFY CONDITIONS OF USE</t>
  </si>
  <si>
    <t>List specific component:</t>
  </si>
  <si>
    <t>level % v/v:</t>
  </si>
  <si>
    <t>6.4.1</t>
  </si>
  <si>
    <t>6.4.2</t>
  </si>
  <si>
    <t>6.4.3</t>
  </si>
  <si>
    <t>6.4.4</t>
  </si>
  <si>
    <t>6.4.5</t>
  </si>
  <si>
    <t>6.1     SHELF LIFE</t>
  </si>
  <si>
    <t>6.1.1</t>
  </si>
  <si>
    <t>6.2     POTENTIAL HAZARDS</t>
  </si>
  <si>
    <t>6.3     TRANSPORT</t>
  </si>
  <si>
    <t>6.4     TRADE MEASUREMENT</t>
  </si>
  <si>
    <t>6.6     PRODUCT PACKAGING</t>
  </si>
  <si>
    <t>6.7   PALLET CONFIGURATION</t>
  </si>
  <si>
    <t>6.6.1</t>
  </si>
  <si>
    <t>6.6.2</t>
  </si>
  <si>
    <t>6.6.3</t>
  </si>
  <si>
    <t>6.6.4</t>
  </si>
  <si>
    <t>6.6.5</t>
  </si>
  <si>
    <t>6.7.1</t>
  </si>
  <si>
    <t>6.7.2</t>
  </si>
  <si>
    <t>6.7.3</t>
  </si>
  <si>
    <t>6.7.4</t>
  </si>
  <si>
    <t>6.7.5</t>
  </si>
  <si>
    <t>SPECIFY IF SUITABLE FOR ...              Yes / No</t>
  </si>
  <si>
    <t>specify "No" to indicate allergens are NOT IN THE SAME FACILITY then go to Section 3.4</t>
  </si>
  <si>
    <t xml:space="preserve">STATE / COUNTRY / POST CODE </t>
  </si>
  <si>
    <t xml:space="preserve">STATE  / COUNTRY / POST CODE </t>
  </si>
  <si>
    <t>Number of COMPONENTs do not match components listed in table</t>
  </si>
  <si>
    <t>Maximum Residue Limits of Agricultural Compounds, Mandatory Food Standard 1999 (and subsequent amendments) issued under sections 11C and 11Z of the Food Act 1981 in New Zealand</t>
  </si>
  <si>
    <t>DATE OF AUTHORISATION</t>
  </si>
  <si>
    <t xml:space="preserve">The IMPORTED COMPONENTS have undergone substantial transformation </t>
  </si>
  <si>
    <t xml:space="preserve">3.5  INTERNATIONAL ALLERGEN, LABELLING &amp; INFORMATION REQUIREMENTS </t>
  </si>
  <si>
    <t xml:space="preserve">3.6  ADDITIONAL LABELLING &amp; INFORMATION REQUIREMENTS </t>
  </si>
  <si>
    <t>Specify if this product (or any of its components) has been treated with the following:</t>
  </si>
  <si>
    <t xml:space="preserve">freight/tanker could have previously been used to transport other GM product?     </t>
  </si>
  <si>
    <t>Number of characters in code</t>
  </si>
  <si>
    <t xml:space="preserve">Method of coding </t>
  </si>
  <si>
    <t>Location of code</t>
  </si>
  <si>
    <t>Example of coding format</t>
  </si>
  <si>
    <t>Coding translation</t>
  </si>
  <si>
    <t>g of rehydrated product</t>
  </si>
  <si>
    <t>Any other claims</t>
  </si>
  <si>
    <t>Netherlands, The</t>
  </si>
  <si>
    <t>handle ANY OTHER allergenic substances listed below?</t>
  </si>
  <si>
    <t xml:space="preserve">(Refer Standard 1.5.1 of the Code) </t>
  </si>
  <si>
    <t>Best before</t>
  </si>
  <si>
    <t>ISSUE DATE</t>
  </si>
  <si>
    <t>1          CONTACT DETAILS &amp;  DECLARATION</t>
  </si>
  <si>
    <t>KEY CONTACT FOR QUERIES</t>
  </si>
  <si>
    <t>Trade Measure</t>
  </si>
  <si>
    <t>Average quantity</t>
  </si>
  <si>
    <t>Net quantity</t>
  </si>
  <si>
    <t>C of A</t>
  </si>
  <si>
    <t>C of C</t>
  </si>
  <si>
    <t>Specify which method of trade measurement is used:</t>
  </si>
  <si>
    <t>Line Number</t>
  </si>
  <si>
    <t>Comments</t>
  </si>
  <si>
    <t xml:space="preserve">Test Methods are mandatory and must quote AOAC methods or recognised independent Australian or International standards. Where a supplier’s internal test method is quoted a copy must be attached. Also state if Certificate of Analysis (C of A) or Certificate of Conformance (C of C) can be provided.   </t>
  </si>
  <si>
    <t>FAX</t>
  </si>
  <si>
    <t xml:space="preserve">PHONE </t>
  </si>
  <si>
    <t>EMAIL ADDRESS</t>
  </si>
  <si>
    <t xml:space="preserve">NAME </t>
  </si>
  <si>
    <t xml:space="preserve">JOB TITLE </t>
  </si>
  <si>
    <t xml:space="preserve">PERCENT OF TOTAL </t>
  </si>
  <si>
    <t>Characterising component</t>
  </si>
  <si>
    <t>Invalid claim: Section 5.3</t>
  </si>
  <si>
    <t>Invalid claim: Section 3.2  /  3.3 / 3.4 / 3.5</t>
  </si>
  <si>
    <t>"Free" claims</t>
  </si>
  <si>
    <t>Sustainability claims</t>
  </si>
  <si>
    <t>Target Fill (if applicable)</t>
  </si>
  <si>
    <t>documents can be viewed at:</t>
  </si>
  <si>
    <t>Additional related documents on allergen management and VITAL (Voluntary Incidental Trace Allergen Labelling)</t>
  </si>
  <si>
    <t xml:space="preserve">http://www.allergenbureau.net/vital/ </t>
  </si>
  <si>
    <t>The AFGC provides some industry guides, specifically on how to apply date marking, and the  AFGC Allergen</t>
  </si>
  <si>
    <t xml:space="preserve"> http://www.afgc.org.au/ </t>
  </si>
  <si>
    <t>Management and Labelling Guide which are available from the AFGC website:</t>
  </si>
  <si>
    <t xml:space="preserve">References to the “Code” or specific “Standards” throughout this document refer to the standards outlined in the Australia New Zealand Food Standards Code. The Australia New Zealand Food Standards Code can be </t>
  </si>
  <si>
    <t>viewed at:</t>
  </si>
  <si>
    <t xml:space="preserve"> http://www.foodstandards.gov.au/foodstandardscode/</t>
  </si>
  <si>
    <t>Yes / No</t>
  </si>
  <si>
    <t>PRODUCT SUITABILITY FOR …</t>
  </si>
  <si>
    <t>gram</t>
  </si>
  <si>
    <t>ml</t>
  </si>
  <si>
    <t>litre</t>
  </si>
  <si>
    <t>VALIDATED?</t>
  </si>
  <si>
    <t>HOW IS CLAIM</t>
  </si>
  <si>
    <t>CERTIFICATE AVAILABLE (Yes/No)</t>
  </si>
  <si>
    <t>PRESENT ON SAME   LINE</t>
  </si>
  <si>
    <t>PRESENT IN SAME FACILITY</t>
  </si>
  <si>
    <t>Specify if the product is suitable for use in product intended for the following consumer uses.</t>
  </si>
  <si>
    <r>
      <t xml:space="preserve">Soybean </t>
    </r>
    <r>
      <rPr>
        <sz val="10"/>
        <rFont val="Arial"/>
        <family val="2"/>
      </rPr>
      <t>&amp; soybean products</t>
    </r>
  </si>
  <si>
    <t>mg/kg</t>
  </si>
  <si>
    <r>
      <rPr>
        <b/>
        <sz val="10"/>
        <color indexed="8"/>
        <rFont val="Arial"/>
        <family val="2"/>
      </rPr>
      <t>MINERALS</t>
    </r>
    <r>
      <rPr>
        <sz val="10"/>
        <color indexed="8"/>
        <rFont val="Arial"/>
        <family val="2"/>
      </rPr>
      <t xml:space="preserve">               specify which minerals</t>
    </r>
  </si>
  <si>
    <r>
      <rPr>
        <b/>
        <sz val="10"/>
        <color indexed="8"/>
        <rFont val="Arial"/>
        <family val="2"/>
      </rPr>
      <t>VITAMINS</t>
    </r>
    <r>
      <rPr>
        <sz val="10"/>
        <color indexed="8"/>
        <rFont val="Arial"/>
        <family val="2"/>
      </rPr>
      <t xml:space="preserve">                 specify which vitamin</t>
    </r>
  </si>
  <si>
    <t>Cereals containing gluten &amp; their products</t>
  </si>
  <si>
    <r>
      <t xml:space="preserve">2.1   PRODUCT DESCRIPTION </t>
    </r>
    <r>
      <rPr>
        <sz val="10"/>
        <rFont val="Arial"/>
        <family val="2"/>
      </rPr>
      <t>(Physical and technological description)</t>
    </r>
  </si>
  <si>
    <t xml:space="preserve">% Moisture </t>
  </si>
  <si>
    <t xml:space="preserve">% Ash </t>
  </si>
  <si>
    <t>Protein, total</t>
  </si>
  <si>
    <t xml:space="preserve">     - Gluten</t>
  </si>
  <si>
    <t>will immediately inform the Customer (and confirm in writing as soon as possible) if the supplier  becomes aware of any error or omission in the Product Information;</t>
  </si>
  <si>
    <t>SITE:   #4</t>
  </si>
  <si>
    <t>SITE:   #5</t>
  </si>
  <si>
    <t>SITE:   #6</t>
  </si>
  <si>
    <t>SITE:   #1</t>
  </si>
  <si>
    <t>SITE:   #2</t>
  </si>
  <si>
    <t>SITE:   #3</t>
  </si>
  <si>
    <t xml:space="preserve">3.4.2  All columns must be completed WHERE HIGHLIGHTED </t>
  </si>
  <si>
    <t xml:space="preserve">3.4.3 </t>
  </si>
  <si>
    <t>3.4.5</t>
  </si>
  <si>
    <t>3.3.2</t>
  </si>
  <si>
    <t>3.4.1   Except for any allergens listed in Section 3.3, does your company have on site and</t>
  </si>
  <si>
    <t>Raw material chemical, OR food additive OR processing aid used in food manufacturing</t>
  </si>
  <si>
    <t>IF NO, is this an approved food additive listed in Std 1.3.1?</t>
  </si>
  <si>
    <t>Specify any OTHER storage requirements:</t>
  </si>
  <si>
    <t>Provide details where the manufacturer or site location differ to above:</t>
  </si>
  <si>
    <t>Liquid, single strength ready for use</t>
  </si>
  <si>
    <t>Liquid, concentrate</t>
  </si>
  <si>
    <t xml:space="preserve">Solid, dehydrated substance </t>
  </si>
  <si>
    <t>Solid substance, suspended in liquid</t>
  </si>
  <si>
    <t xml:space="preserve">What is the package size </t>
  </si>
  <si>
    <t xml:space="preserve">Flavour enhancers </t>
  </si>
  <si>
    <t>SPECIFY COMPONENT</t>
  </si>
  <si>
    <t>Section 1 - Contact details and declaration</t>
  </si>
  <si>
    <t>Section 2 - Product Information &amp; Ingredients</t>
  </si>
  <si>
    <t>Section 3 - Compositional information</t>
  </si>
  <si>
    <t>Section 6 - Product shelf life, storage &amp; packaging</t>
  </si>
  <si>
    <t>Section 7 - Chemical, microbial, organoleptic &amp; physical specifications</t>
  </si>
  <si>
    <t>Section 8 - Additional comments</t>
  </si>
  <si>
    <t>Status of completion for each section:</t>
  </si>
  <si>
    <t>How do you ensure products are derived from animals free of bovine spongiform encephalopathy  (BSE)?</t>
  </si>
  <si>
    <t>Additive number</t>
  </si>
  <si>
    <r>
      <t>Tree nuts</t>
    </r>
    <r>
      <rPr>
        <sz val="10"/>
        <rFont val="Arial"/>
        <family val="2"/>
      </rPr>
      <t xml:space="preserve"> &amp; tree nut products</t>
    </r>
  </si>
  <si>
    <r>
      <rPr>
        <b/>
        <sz val="10"/>
        <rFont val="Arial"/>
        <family val="2"/>
      </rPr>
      <t>Lupin</t>
    </r>
    <r>
      <rPr>
        <sz val="10"/>
        <rFont val="Arial"/>
        <family val="2"/>
      </rPr>
      <t xml:space="preserve"> &amp; lupin products  [</t>
    </r>
    <r>
      <rPr>
        <sz val="8"/>
        <rFont val="Arial"/>
        <family val="2"/>
      </rPr>
      <t>** not a mandatory labelling allergen at this time]</t>
    </r>
  </si>
  <si>
    <t>Serbia</t>
  </si>
  <si>
    <t>6.5   TRACEABILITY</t>
  </si>
  <si>
    <t>Primary Coding</t>
  </si>
  <si>
    <t>Use By</t>
  </si>
  <si>
    <t>Best Before</t>
  </si>
  <si>
    <t>Batch Number</t>
  </si>
  <si>
    <t>Production Code</t>
  </si>
  <si>
    <t>Lot Number</t>
  </si>
  <si>
    <r>
      <t>1.6</t>
    </r>
    <r>
      <rPr>
        <b/>
        <sz val="7"/>
        <rFont val="Times New Roman"/>
        <family val="2"/>
      </rPr>
      <t xml:space="preserve">       </t>
    </r>
    <r>
      <rPr>
        <b/>
        <sz val="10"/>
        <rFont val="Arial"/>
        <family val="2"/>
      </rPr>
      <t>DEFINITIONS / REFERENCES</t>
    </r>
  </si>
  <si>
    <r>
      <t>1.7</t>
    </r>
    <r>
      <rPr>
        <b/>
        <sz val="7"/>
        <rFont val="Times New Roman"/>
        <family val="2"/>
      </rPr>
      <t xml:space="preserve">         </t>
    </r>
    <r>
      <rPr>
        <b/>
        <sz val="10"/>
        <rFont val="Arial"/>
        <family val="2"/>
      </rPr>
      <t>CHECKLIST AND ATTACHMENTS</t>
    </r>
  </si>
  <si>
    <t>1.8</t>
  </si>
  <si>
    <r>
      <t>Cereals containing gluten</t>
    </r>
    <r>
      <rPr>
        <sz val="10"/>
        <rFont val="Arial"/>
        <family val="2"/>
      </rPr>
      <t xml:space="preserve"> &amp; their products [</t>
    </r>
    <r>
      <rPr>
        <i/>
        <sz val="10"/>
        <rFont val="Arial"/>
        <family val="2"/>
      </rPr>
      <t>wheat, rye, barley, oats, spelt</t>
    </r>
    <r>
      <rPr>
        <sz val="10"/>
        <rFont val="Arial"/>
        <family val="2"/>
      </rPr>
      <t>]</t>
    </r>
  </si>
  <si>
    <r>
      <rPr>
        <b/>
        <sz val="10"/>
        <rFont val="Arial"/>
        <family val="2"/>
      </rPr>
      <t>Fish</t>
    </r>
    <r>
      <rPr>
        <sz val="10"/>
        <rFont val="Arial"/>
        <family val="2"/>
      </rPr>
      <t xml:space="preserve"> &amp; fish products (including mollusc with or without shells and fish oils)</t>
    </r>
  </si>
  <si>
    <t>Type of polyol, isomalt, polydextrose</t>
  </si>
  <si>
    <t>Polyols, Isomalts, Polydextrose (Lactitol, Maltitol, Maltitol syrup, Mannitol, Xylitol, Erythritol, Isomalt, Polydextrose, Sorbitol)</t>
  </si>
  <si>
    <r>
      <rPr>
        <b/>
        <sz val="10"/>
        <rFont val="Arial"/>
        <family val="2"/>
      </rPr>
      <t xml:space="preserve">If “yes” </t>
    </r>
    <r>
      <rPr>
        <sz val="10"/>
        <rFont val="Arial"/>
        <family val="2"/>
      </rPr>
      <t>specify type/s and levels:</t>
    </r>
  </si>
  <si>
    <t>Provide copy of certificate</t>
  </si>
  <si>
    <t>Biodynamic</t>
  </si>
  <si>
    <t>Organic</t>
  </si>
  <si>
    <t xml:space="preserve">Ovo-lacto-vegetarian </t>
  </si>
  <si>
    <t xml:space="preserve">Humane treatment </t>
  </si>
  <si>
    <t>United States of America</t>
  </si>
  <si>
    <t>Adults</t>
  </si>
  <si>
    <t>chromium**</t>
  </si>
  <si>
    <t>copper**</t>
  </si>
  <si>
    <t>manganese**</t>
  </si>
  <si>
    <t>molybdenum**</t>
  </si>
  <si>
    <t>vitamin K**</t>
  </si>
  <si>
    <t>biotin**</t>
  </si>
  <si>
    <t>** no permission to fortify</t>
  </si>
  <si>
    <t>Units</t>
  </si>
  <si>
    <t>Vit ADULT RDI</t>
  </si>
  <si>
    <t>Vit-Child RDI</t>
  </si>
  <si>
    <t>-</t>
  </si>
  <si>
    <t>Min-ADULT RDI</t>
  </si>
  <si>
    <t>Min-CHILD RDI</t>
  </si>
  <si>
    <t>NRV</t>
  </si>
  <si>
    <t xml:space="preserve">Macro Nutrient </t>
  </si>
  <si>
    <t>sugars</t>
  </si>
  <si>
    <t xml:space="preserve">Halal </t>
  </si>
  <si>
    <t>Kosher</t>
  </si>
  <si>
    <t xml:space="preserve">Lacto-vegetarian </t>
  </si>
  <si>
    <t>Sheep</t>
  </si>
  <si>
    <t>Goat</t>
  </si>
  <si>
    <t>Duck</t>
  </si>
  <si>
    <t>Quail</t>
  </si>
  <si>
    <t>Turkey</t>
  </si>
  <si>
    <r>
      <t xml:space="preserve">Bird &amp; Bird products
</t>
    </r>
    <r>
      <rPr>
        <sz val="10"/>
        <rFont val="Arial"/>
        <family val="2"/>
      </rPr>
      <t>(e.g. meat, fat, eggs,  extracts, feathers, feet, etc.)</t>
    </r>
    <r>
      <rPr>
        <b/>
        <sz val="10"/>
        <rFont val="Arial"/>
        <family val="2"/>
      </rPr>
      <t xml:space="preserve">
</t>
    </r>
  </si>
  <si>
    <t>Banana</t>
  </si>
  <si>
    <t>Seafood products</t>
  </si>
  <si>
    <t xml:space="preserve">beef - collagen </t>
  </si>
  <si>
    <t>other source</t>
  </si>
  <si>
    <t>Vegetables</t>
  </si>
  <si>
    <t>Matsutake mushroom</t>
  </si>
  <si>
    <t xml:space="preserve">Fungi </t>
  </si>
  <si>
    <t>Other mushroom</t>
  </si>
  <si>
    <t>Fruits</t>
  </si>
  <si>
    <t>Algae/carrageenan</t>
  </si>
  <si>
    <r>
      <t xml:space="preserve">2.4  </t>
    </r>
    <r>
      <rPr>
        <b/>
        <sz val="7"/>
        <rFont val="Times New Roman"/>
        <family val="2"/>
      </rPr>
      <t xml:space="preserve"> </t>
    </r>
    <r>
      <rPr>
        <b/>
        <sz val="10"/>
        <rFont val="Arial"/>
        <family val="2"/>
      </rPr>
      <t>COUNTRY OF ORIGIN</t>
    </r>
    <r>
      <rPr>
        <sz val="10"/>
        <rFont val="Arial"/>
        <family val="2"/>
      </rPr>
      <t xml:space="preserve"> </t>
    </r>
  </si>
  <si>
    <t>2.5</t>
  </si>
  <si>
    <r>
      <t>2.6</t>
    </r>
    <r>
      <rPr>
        <b/>
        <sz val="7"/>
        <rFont val="Times New Roman"/>
        <family val="2"/>
      </rPr>
      <t xml:space="preserve">   </t>
    </r>
    <r>
      <rPr>
        <b/>
        <sz val="10"/>
        <rFont val="Arial"/>
        <family val="2"/>
      </rPr>
      <t xml:space="preserve">INGREDIENT DECLARATION </t>
    </r>
  </si>
  <si>
    <r>
      <t xml:space="preserve"> product consists of various ingredients which are </t>
    </r>
    <r>
      <rPr>
        <b/>
        <sz val="10"/>
        <rFont val="Arial"/>
        <family val="2"/>
      </rPr>
      <t xml:space="preserve">NOT compound </t>
    </r>
    <r>
      <rPr>
        <sz val="10"/>
        <rFont val="Arial"/>
        <family val="2"/>
      </rPr>
      <t>substances</t>
    </r>
  </si>
  <si>
    <t xml:space="preserve">Provide relevant details necessary for consumer advice: </t>
  </si>
  <si>
    <t>Packaging format</t>
  </si>
  <si>
    <t>Check Box if help is needed identify mandatory sections of form which have NOT been completed:</t>
  </si>
  <si>
    <t>Full breakdown list of components in compound ingredient including additive code numbers</t>
  </si>
  <si>
    <r>
      <t>2.7</t>
    </r>
    <r>
      <rPr>
        <b/>
        <sz val="7"/>
        <rFont val="Times New Roman"/>
        <family val="2"/>
      </rPr>
      <t xml:space="preserve">   </t>
    </r>
    <r>
      <rPr>
        <b/>
        <sz val="10"/>
        <rFont val="Arial"/>
        <family val="2"/>
      </rPr>
      <t>PROCESSING AIDS</t>
    </r>
  </si>
  <si>
    <t>page 6</t>
  </si>
  <si>
    <t>page10</t>
  </si>
  <si>
    <t>page11</t>
  </si>
  <si>
    <t>Acid         Hydrolysed</t>
  </si>
  <si>
    <t>page13</t>
  </si>
  <si>
    <t>page14</t>
  </si>
  <si>
    <t>page15</t>
  </si>
  <si>
    <t>page16</t>
  </si>
  <si>
    <t>page17</t>
  </si>
  <si>
    <t>page18</t>
  </si>
  <si>
    <r>
      <t>2 </t>
    </r>
    <r>
      <rPr>
        <b/>
        <sz val="7"/>
        <color indexed="9"/>
        <rFont val="Times New Roman"/>
        <family val="2"/>
      </rPr>
      <t xml:space="preserve">       </t>
    </r>
    <r>
      <rPr>
        <b/>
        <sz val="12"/>
        <color indexed="9"/>
        <rFont val="Arial"/>
        <family val="2"/>
      </rPr>
      <t xml:space="preserve"> PRODUCT INFORMATION &amp; INGREDIENTS</t>
    </r>
  </si>
  <si>
    <t>Avocado</t>
  </si>
  <si>
    <t>Hydrolysed</t>
  </si>
  <si>
    <t>Autolysed</t>
  </si>
  <si>
    <t>FOOD INDUSTRY - PRODUCT INFORMATION FORM</t>
  </si>
  <si>
    <t>Country</t>
  </si>
  <si>
    <t>page 1</t>
  </si>
  <si>
    <t>_</t>
  </si>
  <si>
    <t xml:space="preserve">Afghanistan </t>
  </si>
  <si>
    <t>Yes/No</t>
  </si>
  <si>
    <t xml:space="preserve">Algeria </t>
  </si>
  <si>
    <t>CUSTOMER’S PRODUCT NAME</t>
  </si>
  <si>
    <t>CUSTOMER’S PRODUCT CODE</t>
  </si>
  <si>
    <t>Yes</t>
  </si>
  <si>
    <t xml:space="preserve">Andorra </t>
  </si>
  <si>
    <t>SUPPLIER’S PRODUCT CODE</t>
  </si>
  <si>
    <t>No</t>
  </si>
  <si>
    <t xml:space="preserve">Angola </t>
  </si>
  <si>
    <t xml:space="preserve">Antigua and Barbuda </t>
  </si>
  <si>
    <t xml:space="preserve">Argentina </t>
  </si>
  <si>
    <t>1.1         SUPPLIER INFORMATION</t>
  </si>
  <si>
    <t>Armenia</t>
  </si>
  <si>
    <t>COMPANY NAME</t>
  </si>
  <si>
    <t xml:space="preserve">Australia </t>
  </si>
  <si>
    <t xml:space="preserve">Austria </t>
  </si>
  <si>
    <t>TRADING NAME</t>
  </si>
  <si>
    <t>X</t>
  </si>
  <si>
    <t xml:space="preserve">Azerbaijan </t>
  </si>
  <si>
    <t xml:space="preserve">Bahamas </t>
  </si>
  <si>
    <t xml:space="preserve">Bahrain </t>
  </si>
  <si>
    <t xml:space="preserve">Bangladesh </t>
  </si>
  <si>
    <t>POSITION TITLE</t>
  </si>
  <si>
    <t xml:space="preserve">Barbados </t>
  </si>
  <si>
    <t xml:space="preserve">Belarus </t>
  </si>
  <si>
    <t xml:space="preserve">Belgium </t>
  </si>
  <si>
    <t xml:space="preserve">Belize </t>
  </si>
  <si>
    <t>DATE FORM COMPLETED</t>
  </si>
  <si>
    <t xml:space="preserve">Benin </t>
  </si>
  <si>
    <t>DOCUMENT NO:</t>
  </si>
  <si>
    <t xml:space="preserve">Bhutan </t>
  </si>
  <si>
    <t xml:space="preserve">Bolivia </t>
  </si>
  <si>
    <t>Bosnia and Herzegovina</t>
  </si>
  <si>
    <t xml:space="preserve">Botswana </t>
  </si>
  <si>
    <t>Brazil</t>
  </si>
  <si>
    <r>
      <rPr>
        <b/>
        <sz val="10"/>
        <rFont val="Arial"/>
        <family val="2"/>
      </rPr>
      <t xml:space="preserve">Sesame seed </t>
    </r>
    <r>
      <rPr>
        <sz val="10"/>
        <rFont val="Arial"/>
        <family val="2"/>
      </rPr>
      <t>&amp; sesame seed products</t>
    </r>
  </si>
  <si>
    <r>
      <t xml:space="preserve">Please insert </t>
    </r>
    <r>
      <rPr>
        <b/>
        <sz val="8"/>
        <rFont val="Arial"/>
        <family val="2"/>
      </rPr>
      <t>YES</t>
    </r>
    <r>
      <rPr>
        <sz val="8"/>
        <rFont val="Arial"/>
        <family val="2"/>
      </rPr>
      <t xml:space="preserve"> or </t>
    </r>
    <r>
      <rPr>
        <b/>
        <sz val="8"/>
        <rFont val="Arial"/>
        <family val="2"/>
      </rPr>
      <t>NO</t>
    </r>
    <r>
      <rPr>
        <sz val="8"/>
        <rFont val="Arial"/>
        <family val="2"/>
      </rPr>
      <t xml:space="preserve"> to indicate if the product contains, or was manufactured using, any ingredient, additive or processing aid which has been derived from the following food sources.  Highly processed derivatives must always be declared.  Carefully assess compound ingredients for hidden allergens.  [** Lupin included as a possible future addition to the Food Standards Code.]</t>
    </r>
  </si>
  <si>
    <t xml:space="preserve">Brunei </t>
  </si>
  <si>
    <t xml:space="preserve">Bulgaria </t>
  </si>
  <si>
    <t>Burkina Faso</t>
  </si>
  <si>
    <t xml:space="preserve">Burundi </t>
  </si>
  <si>
    <t xml:space="preserve">Cambodia </t>
  </si>
  <si>
    <t xml:space="preserve">Cameroon </t>
  </si>
  <si>
    <t xml:space="preserve">Canada </t>
  </si>
  <si>
    <t xml:space="preserve">Cape Verde </t>
  </si>
  <si>
    <t xml:space="preserve">Other associated documents attached as requested by the customer </t>
  </si>
  <si>
    <t>Central African Republic</t>
  </si>
  <si>
    <t xml:space="preserve">Chad </t>
  </si>
  <si>
    <t xml:space="preserve">Chile </t>
  </si>
  <si>
    <t>page 2</t>
  </si>
  <si>
    <t>China</t>
  </si>
  <si>
    <t>The Supplier -</t>
  </si>
  <si>
    <t xml:space="preserve">Colombia </t>
  </si>
  <si>
    <t>Comoros</t>
  </si>
  <si>
    <t>4.1.1</t>
  </si>
  <si>
    <t>Serve size is not relevant for this product.</t>
  </si>
  <si>
    <t>Congo (Brazzaville)</t>
  </si>
  <si>
    <t>Congo, Democratic Republic of the</t>
  </si>
  <si>
    <t xml:space="preserve">Costa Rica </t>
  </si>
  <si>
    <t xml:space="preserve">Croatia </t>
  </si>
  <si>
    <t>agrees that all Product it supplies to the Customer will conform with the Product Information unless otherwise agreed to in writing and in advance by the Customer;</t>
  </si>
  <si>
    <t xml:space="preserve">Cuba </t>
  </si>
  <si>
    <t xml:space="preserve">Cyprus </t>
  </si>
  <si>
    <t xml:space="preserve">Czech Republic </t>
  </si>
  <si>
    <t>AVAILABILITY</t>
  </si>
  <si>
    <t>Temperature control</t>
  </si>
  <si>
    <t xml:space="preserve">acknowledges that the Customer may provide the Product Information to – </t>
  </si>
  <si>
    <t xml:space="preserve">Denmark </t>
  </si>
  <si>
    <t>(a)</t>
  </si>
  <si>
    <t>regulatory agencies in relation to any matter raised by such agencies;</t>
  </si>
  <si>
    <t>Djibouti</t>
  </si>
  <si>
    <t>(b)</t>
  </si>
  <si>
    <t>Dominica</t>
  </si>
  <si>
    <t>(c)</t>
  </si>
  <si>
    <t xml:space="preserve">Dominican Republic </t>
  </si>
  <si>
    <t>(d)</t>
  </si>
  <si>
    <t xml:space="preserve">East Timor (Timor Timur) </t>
  </si>
  <si>
    <t xml:space="preserve">Ecuador </t>
  </si>
  <si>
    <t>Egypt</t>
  </si>
  <si>
    <t xml:space="preserve">El Salvador </t>
  </si>
  <si>
    <t>Equatorial Guinea</t>
  </si>
  <si>
    <t>Signed for and on behalf of</t>
  </si>
  <si>
    <t xml:space="preserve">Eritrea </t>
  </si>
  <si>
    <t>Estonia</t>
  </si>
  <si>
    <t>Ethiopia</t>
  </si>
  <si>
    <t>AUTHORISED SIGNATURE</t>
  </si>
  <si>
    <t xml:space="preserve">Fiji </t>
  </si>
  <si>
    <t>Finland</t>
  </si>
  <si>
    <t xml:space="preserve">Gabon </t>
  </si>
  <si>
    <t>Gambia</t>
  </si>
  <si>
    <t>Customer   Internal   Use   Only</t>
  </si>
  <si>
    <t xml:space="preserve">Georgia </t>
  </si>
  <si>
    <t>Internal Product Code/Description</t>
  </si>
  <si>
    <t>Germany</t>
  </si>
  <si>
    <t>Version No.</t>
  </si>
  <si>
    <t xml:space="preserve">Ghana </t>
  </si>
  <si>
    <t>Approved   [Yes / No]</t>
  </si>
  <si>
    <t xml:space="preserve">Greece </t>
  </si>
  <si>
    <t>Reason for Update</t>
  </si>
  <si>
    <t xml:space="preserve">Grenada </t>
  </si>
  <si>
    <t>Received and Reviewed By</t>
  </si>
  <si>
    <t xml:space="preserve">Guatemala </t>
  </si>
  <si>
    <t>Date:</t>
  </si>
  <si>
    <t>Guinea</t>
  </si>
  <si>
    <t>Signature:</t>
  </si>
  <si>
    <t xml:space="preserve">Guinea-Bissau </t>
  </si>
  <si>
    <t xml:space="preserve">Guyana </t>
  </si>
  <si>
    <t>page 3</t>
  </si>
  <si>
    <t xml:space="preserve">Honduras </t>
  </si>
  <si>
    <t>Hungary</t>
  </si>
  <si>
    <r>
      <t>2.2</t>
    </r>
    <r>
      <rPr>
        <b/>
        <sz val="7"/>
        <rFont val="Times New Roman"/>
        <family val="2"/>
      </rPr>
      <t xml:space="preserve">   </t>
    </r>
    <r>
      <rPr>
        <b/>
        <sz val="10"/>
        <rFont val="Arial"/>
        <family val="2"/>
      </rPr>
      <t>LEGAL DESCRIPTION / SUGGESTED LABELLING DESCRIPTION</t>
    </r>
  </si>
  <si>
    <t xml:space="preserve">Iceland </t>
  </si>
  <si>
    <t>India</t>
  </si>
  <si>
    <t xml:space="preserve">Indonesia </t>
  </si>
  <si>
    <t xml:space="preserve">Iran </t>
  </si>
  <si>
    <t xml:space="preserve">Iraq </t>
  </si>
  <si>
    <t xml:space="preserve">Ireland </t>
  </si>
  <si>
    <t xml:space="preserve">Israel </t>
  </si>
  <si>
    <t>Italy</t>
  </si>
  <si>
    <t xml:space="preserve">Jamaica </t>
  </si>
  <si>
    <t xml:space="preserve">Japan </t>
  </si>
  <si>
    <t xml:space="preserve">Jordan </t>
  </si>
  <si>
    <t xml:space="preserve">Kazakhstan </t>
  </si>
  <si>
    <t xml:space="preserve">Kenya </t>
  </si>
  <si>
    <t>Kiribati</t>
  </si>
  <si>
    <t xml:space="preserve">Korea, North </t>
  </si>
  <si>
    <t xml:space="preserve">Korea, South </t>
  </si>
  <si>
    <t xml:space="preserve">Kuwait </t>
  </si>
  <si>
    <t xml:space="preserve">Kyrgyzstan </t>
  </si>
  <si>
    <t>Laos</t>
  </si>
  <si>
    <t xml:space="preserve">Latvia </t>
  </si>
  <si>
    <t xml:space="preserve">Lebanon </t>
  </si>
  <si>
    <t xml:space="preserve">Lesotho </t>
  </si>
  <si>
    <t>Liberia</t>
  </si>
  <si>
    <t>Libya</t>
  </si>
  <si>
    <t xml:space="preserve">Liechtenstein </t>
  </si>
  <si>
    <t xml:space="preserve">Lithuania </t>
  </si>
  <si>
    <t xml:space="preserve">Luxembourg </t>
  </si>
  <si>
    <t>Macedonia</t>
  </si>
  <si>
    <t xml:space="preserve">Madagascar </t>
  </si>
  <si>
    <t xml:space="preserve">Malawi </t>
  </si>
  <si>
    <t xml:space="preserve">Malaysia </t>
  </si>
  <si>
    <t>Maldives</t>
  </si>
  <si>
    <t xml:space="preserve">Mali </t>
  </si>
  <si>
    <t>Malta</t>
  </si>
  <si>
    <t xml:space="preserve">Marshall Islands </t>
  </si>
  <si>
    <t>page 4</t>
  </si>
  <si>
    <t>Mauritania</t>
  </si>
  <si>
    <t>Mauritius</t>
  </si>
  <si>
    <t xml:space="preserve">Mexico </t>
  </si>
  <si>
    <t>Micronesia, Federated States of</t>
  </si>
  <si>
    <t>Moldova</t>
  </si>
  <si>
    <t xml:space="preserve">Monaco </t>
  </si>
  <si>
    <t xml:space="preserve">Mongolia </t>
  </si>
  <si>
    <t>Montenegro</t>
  </si>
  <si>
    <t xml:space="preserve">Morocco </t>
  </si>
  <si>
    <t xml:space="preserve">Mozambique </t>
  </si>
  <si>
    <r>
      <t>3.1</t>
    </r>
    <r>
      <rPr>
        <b/>
        <sz val="7"/>
        <rFont val="Times New Roman"/>
        <family val="2"/>
      </rPr>
      <t xml:space="preserve">   </t>
    </r>
    <r>
      <rPr>
        <b/>
        <sz val="10"/>
        <rFont val="Arial"/>
        <family val="2"/>
      </rPr>
      <t>MANDATORY ADVISORY OR WARNING STATEMENTS &amp; DECLARATIONS</t>
    </r>
  </si>
  <si>
    <t xml:space="preserve">Myanmar (Burma) </t>
  </si>
  <si>
    <t>(“ Yes” response triggers a mandatory advisory or warning statement. Refer Standard 1.2.3 of the Code)</t>
  </si>
  <si>
    <t xml:space="preserve">Namibia </t>
  </si>
  <si>
    <t xml:space="preserve">Nauru </t>
  </si>
  <si>
    <t>FOOD / COMPONENT</t>
  </si>
  <si>
    <t>PRESENT</t>
  </si>
  <si>
    <t xml:space="preserve">Nepal </t>
  </si>
  <si>
    <t>YES / NO</t>
  </si>
  <si>
    <t>Bee pollen presented as a food or ingredient</t>
  </si>
  <si>
    <t xml:space="preserve">New Zealand </t>
  </si>
  <si>
    <t xml:space="preserve">Propolis presented as a food or ingredient </t>
  </si>
  <si>
    <t xml:space="preserve">Nicaragua </t>
  </si>
  <si>
    <t>Unpasteurised milk and unpasteurised liquid milk products</t>
  </si>
  <si>
    <t>Niger</t>
  </si>
  <si>
    <t xml:space="preserve">Nigeria </t>
  </si>
  <si>
    <t>Unpasteurised egg products</t>
  </si>
  <si>
    <t xml:space="preserve">Norway </t>
  </si>
  <si>
    <t>Quinine</t>
  </si>
  <si>
    <t>Oman</t>
  </si>
  <si>
    <t>Kola beverages containing added caffeine</t>
  </si>
  <si>
    <t>Pakistan</t>
  </si>
  <si>
    <t>Guarana or extracts of guarana</t>
  </si>
  <si>
    <t xml:space="preserve">Palau </t>
  </si>
  <si>
    <t>2.6   INGREDIENT DECLARATION INCLUDING PERCENTAGE LABELLING (continued)</t>
  </si>
  <si>
    <t>Specify all processing aids used in the manufacture of this product not otherwise declared in the ingredient list.</t>
  </si>
  <si>
    <t>For laboratory analysis, specify date of analysis:</t>
  </si>
  <si>
    <t>IF NO,</t>
  </si>
  <si>
    <t>IF YES,</t>
  </si>
  <si>
    <t>http://www.allergenbureau.net/vital/</t>
  </si>
  <si>
    <t>Date of most recent audit / inspection</t>
  </si>
  <si>
    <t>Coconut, poppy, sunflower, etc</t>
  </si>
  <si>
    <t>Has the Food Safety Program been independently audited and certified?</t>
  </si>
  <si>
    <t>Added Sugar</t>
  </si>
  <si>
    <t xml:space="preserve">Specify type of fish: </t>
  </si>
  <si>
    <t>% RDI / serve</t>
  </si>
  <si>
    <t>%RDI / serve</t>
  </si>
  <si>
    <t>Phytosterol esters</t>
  </si>
  <si>
    <t xml:space="preserve">Panama </t>
  </si>
  <si>
    <t>Tall oil phytosterols.</t>
  </si>
  <si>
    <t xml:space="preserve">Papua New Guinea </t>
  </si>
  <si>
    <t>2.3   PRODUCT APPLICATION AND INTENDED USE</t>
  </si>
  <si>
    <t>2.3.1</t>
  </si>
  <si>
    <t>2.3.2</t>
  </si>
  <si>
    <t>Solid, semi-solid or powder substance, intended for use in further preparation</t>
  </si>
  <si>
    <t>Solid, semi-solid or powder substance, ready for consumption</t>
  </si>
  <si>
    <t>Food supplied as an ingredient for use in further manufacturing or processing</t>
  </si>
  <si>
    <t>Food may be used as an ingredient, or may be retail-ready finished product</t>
  </si>
  <si>
    <t>Food which is a retail-ready finished product</t>
  </si>
  <si>
    <t xml:space="preserve">from more than one country? </t>
  </si>
  <si>
    <t>IF YES, nominate the countries the primary components used to make the product come from:</t>
  </si>
  <si>
    <r>
      <t>cross contact within the manufacturing facility:</t>
    </r>
    <r>
      <rPr>
        <i/>
        <sz val="10"/>
        <rFont val="Arial"/>
        <family val="2"/>
      </rPr>
      <t xml:space="preserve"> (Select all appropriate checkboxes)</t>
    </r>
  </si>
  <si>
    <r>
      <t>3.2</t>
    </r>
    <r>
      <rPr>
        <b/>
        <sz val="7"/>
        <rFont val="Times New Roman"/>
        <family val="2"/>
      </rPr>
      <t xml:space="preserve">   </t>
    </r>
    <r>
      <rPr>
        <b/>
        <sz val="10"/>
        <rFont val="Arial"/>
        <family val="2"/>
      </rPr>
      <t xml:space="preserve">ALLERGEN MANAGEMENT &amp; CONTROL  </t>
    </r>
  </si>
  <si>
    <t xml:space="preserve">3.2.1    </t>
  </si>
  <si>
    <t>3.2.3</t>
  </si>
  <si>
    <t>3.2.4  Indicate if any of the following is applied in order to manage allergens and minimise allergen</t>
  </si>
  <si>
    <r>
      <t>3.4</t>
    </r>
    <r>
      <rPr>
        <b/>
        <sz val="7"/>
        <rFont val="Times New Roman"/>
        <family val="2"/>
      </rPr>
      <t xml:space="preserve">   </t>
    </r>
    <r>
      <rPr>
        <b/>
        <sz val="10"/>
        <rFont val="Arial"/>
        <family val="2"/>
      </rPr>
      <t xml:space="preserve">ALLERGEN CROSS CONTACT </t>
    </r>
  </si>
  <si>
    <t>3.3.1   Complete all coloured rows corresponding with "YES" declaration provided above.</t>
  </si>
  <si>
    <t>Are the primary components, from which this product is made or derived, sourced</t>
  </si>
  <si>
    <t>2.4.2</t>
  </si>
  <si>
    <t>Cereal-based beverages, where these foods contain no more than 2.5% m/m fat and less than 3% m/m protein, or less than 3% m/m protein only.</t>
  </si>
  <si>
    <t>Paraguay</t>
  </si>
  <si>
    <t>Evaporated and dried products made from cereals, where these foods contain no more than 2.5% m/m fat and less than 3% m/m protein, or less than 3% m/m protein only, as reconstituted according to directions for direct consumption.</t>
  </si>
  <si>
    <t xml:space="preserve">Peru </t>
  </si>
  <si>
    <t>Milk, and beverages made from soy or cereals, where these foods contain no more than 2.5% m/m fat.</t>
  </si>
  <si>
    <t xml:space="preserve">Philippines </t>
  </si>
  <si>
    <t>Evaporated milks, dried milks and equivalent products made from soy or cereals, where these foods contain no more than 2.5% m/m fat as reconstituted according to directions for direct consumption.</t>
  </si>
  <si>
    <t xml:space="preserve">Poland </t>
  </si>
  <si>
    <t xml:space="preserve">Royal jelly presented as a food or ingredient </t>
  </si>
  <si>
    <t xml:space="preserve">Portugal </t>
  </si>
  <si>
    <t xml:space="preserve">Qatar </t>
  </si>
  <si>
    <t>Type</t>
  </si>
  <si>
    <t>Level (g/100g)</t>
  </si>
  <si>
    <t>Romania</t>
  </si>
  <si>
    <t>Russia</t>
  </si>
  <si>
    <t xml:space="preserve">Rwanda </t>
  </si>
  <si>
    <t xml:space="preserve">Saint Kitts and Nevis </t>
  </si>
  <si>
    <t>Aspartame or aspartame-acesulphame salt (or phenylalanine)</t>
  </si>
  <si>
    <t>TRACKING CODE</t>
  </si>
  <si>
    <t>page 5</t>
  </si>
  <si>
    <t>Saint Vincent and The Grenadines</t>
  </si>
  <si>
    <t xml:space="preserve">Samoa </t>
  </si>
  <si>
    <t>San Marino</t>
  </si>
  <si>
    <t xml:space="preserve">Sao Tome and Principe </t>
  </si>
  <si>
    <t xml:space="preserve">Saudi Arabia </t>
  </si>
  <si>
    <t>Seychelles</t>
  </si>
  <si>
    <t>Sierra Leone</t>
  </si>
  <si>
    <t>Singapore</t>
  </si>
  <si>
    <t>Slovakia</t>
  </si>
  <si>
    <t xml:space="preserve">Slovenia </t>
  </si>
  <si>
    <t xml:space="preserve">Solomon Islands </t>
  </si>
  <si>
    <t>Somalia</t>
  </si>
  <si>
    <t xml:space="preserve">South Africa </t>
  </si>
  <si>
    <t xml:space="preserve">Spain </t>
  </si>
  <si>
    <t xml:space="preserve">Sri Lanka </t>
  </si>
  <si>
    <t>Sudan</t>
  </si>
  <si>
    <t xml:space="preserve">Suriname </t>
  </si>
  <si>
    <t xml:space="preserve">Swaziland </t>
  </si>
  <si>
    <t xml:space="preserve">Sweden </t>
  </si>
  <si>
    <t xml:space="preserve">Switzerland </t>
  </si>
  <si>
    <t>Syria</t>
  </si>
  <si>
    <t xml:space="preserve">Taiwan </t>
  </si>
  <si>
    <t>Tajikistan</t>
  </si>
  <si>
    <t>Tanzania</t>
  </si>
  <si>
    <t>Thailand</t>
  </si>
  <si>
    <t xml:space="preserve">Togo </t>
  </si>
  <si>
    <t xml:space="preserve">Tonga </t>
  </si>
  <si>
    <t xml:space="preserve">Trinidad and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</si>
  <si>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</si>
  <si>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</si>
  <si>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</si>
  <si>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</si>
  <si>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</si>
  <si>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</si>
  <si>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</si>
  <si>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</si>
  <si>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Uruguay </t>
  </si>
  <si>
    <t xml:space="preserve">Uzbekistan </t>
  </si>
  <si>
    <t xml:space="preserve">Vatican City </t>
  </si>
  <si>
    <t xml:space="preserve">Venezuela </t>
  </si>
  <si>
    <t xml:space="preserve">Vietnam </t>
  </si>
  <si>
    <t xml:space="preserve">Western Sahara </t>
  </si>
  <si>
    <t xml:space="preserve">Yemen </t>
  </si>
  <si>
    <t xml:space="preserve">Zambia </t>
  </si>
  <si>
    <t xml:space="preserve">Zimbabwe </t>
  </si>
  <si>
    <t>Specify type of added sulphite/s and additive number/s</t>
  </si>
  <si>
    <t>page 7</t>
  </si>
  <si>
    <t>NOTE:  there is no permission to FORTIFY foods with this substance indicated with **</t>
  </si>
  <si>
    <t xml:space="preserve">Sesame Seed </t>
  </si>
  <si>
    <r>
      <t>Soybean</t>
    </r>
    <r>
      <rPr>
        <sz val="10"/>
        <rFont val="Arial"/>
        <family val="2"/>
      </rPr>
      <t xml:space="preserve"> </t>
    </r>
  </si>
  <si>
    <t xml:space="preserve">Tree nuts </t>
  </si>
  <si>
    <t>&amp; tree nut  products</t>
  </si>
  <si>
    <t>Milk</t>
  </si>
  <si>
    <t>&amp; milk products</t>
  </si>
  <si>
    <t>Lupin</t>
  </si>
  <si>
    <t>&amp; lupin products</t>
  </si>
  <si>
    <t>Fish</t>
  </si>
  <si>
    <t>Egg</t>
  </si>
  <si>
    <t>&amp; egg products</t>
  </si>
  <si>
    <t>Crustacea</t>
  </si>
  <si>
    <t>&amp; crustacea products</t>
  </si>
  <si>
    <t>Peanut</t>
  </si>
  <si>
    <t>&amp; peanut products  (including peanut oil)</t>
  </si>
  <si>
    <r>
      <t xml:space="preserve">Sulphites, </t>
    </r>
    <r>
      <rPr>
        <sz val="10"/>
        <rFont val="Arial"/>
        <family val="2"/>
      </rPr>
      <t>present</t>
    </r>
    <r>
      <rPr>
        <b/>
        <sz val="10"/>
        <rFont val="Arial"/>
        <family val="2"/>
      </rPr>
      <t xml:space="preserve"> in </t>
    </r>
    <r>
      <rPr>
        <sz val="10"/>
        <rFont val="Arial"/>
        <family val="2"/>
      </rPr>
      <t>ingredients, additives or processing aids</t>
    </r>
  </si>
  <si>
    <t xml:space="preserve">Rehydration rate: </t>
  </si>
  <si>
    <t>NAME OF PROCESSING AID</t>
  </si>
  <si>
    <t>ISSUE NUMBER</t>
  </si>
  <si>
    <t>NUMBER / STREET / SUBURB</t>
  </si>
  <si>
    <t xml:space="preserve">CITY / COUNTRY / POST CODE </t>
  </si>
  <si>
    <t>POST ADDRESS / SUBURB</t>
  </si>
  <si>
    <t>TELEPHONE - WORK</t>
  </si>
  <si>
    <t>TELEPHONE - MOBILE</t>
  </si>
  <si>
    <t xml:space="preserve">EMAIL </t>
  </si>
  <si>
    <t>where applicable, and that where such certification relies on third party audits, analysis, industry codes, or equivalence of international standards to demonstrate compliance, that certificates are current and available;</t>
  </si>
  <si>
    <r>
      <t xml:space="preserve">Page 2 has been </t>
    </r>
    <r>
      <rPr>
        <b/>
        <u/>
        <sz val="10"/>
        <rFont val="Arial"/>
        <family val="2"/>
      </rPr>
      <t>signed</t>
    </r>
    <r>
      <rPr>
        <b/>
        <sz val="10"/>
        <rFont val="Arial"/>
        <family val="2"/>
      </rPr>
      <t xml:space="preserve"> and </t>
    </r>
    <r>
      <rPr>
        <b/>
        <u/>
        <sz val="10"/>
        <rFont val="Arial"/>
        <family val="2"/>
      </rPr>
      <t>dated</t>
    </r>
    <r>
      <rPr>
        <b/>
        <sz val="10"/>
        <rFont val="Arial"/>
        <family val="2"/>
      </rPr>
      <t xml:space="preserve"> (Section 1.4)</t>
    </r>
  </si>
  <si>
    <t>(e.g. MSDS, HACCP certification, product specification, and related documents)</t>
  </si>
  <si>
    <t>Please specify:</t>
  </si>
  <si>
    <t>IF NO, specify which of the following are applicable:</t>
  </si>
  <si>
    <t xml:space="preserve">Non GM variety is used </t>
  </si>
  <si>
    <t>Verifiable documentation of status</t>
  </si>
  <si>
    <t>Height  (mm)</t>
  </si>
  <si>
    <t xml:space="preserve">modified protein or DNA is used for the manufacture of other products?    </t>
  </si>
  <si>
    <t>Width (mm)</t>
  </si>
  <si>
    <t>Depth (mm)</t>
  </si>
  <si>
    <t>Gross weight of loaded pallet</t>
  </si>
  <si>
    <t>Stack height of loaded pallet</t>
  </si>
  <si>
    <t xml:space="preserve">validated cleaning procedures </t>
  </si>
  <si>
    <t>production scheduling</t>
  </si>
  <si>
    <t xml:space="preserve">control of personnel movement in factory </t>
  </si>
  <si>
    <t>staff training</t>
  </si>
  <si>
    <t>documented procedures and controls</t>
  </si>
  <si>
    <t>isolated storage of allergens</t>
  </si>
  <si>
    <t xml:space="preserve">raw material sourcing &amp; tracing </t>
  </si>
  <si>
    <t>dedicated equipment</t>
  </si>
  <si>
    <t xml:space="preserve">other </t>
  </si>
  <si>
    <t>page 8</t>
  </si>
  <si>
    <t>Beef</t>
  </si>
  <si>
    <t>Chicken</t>
  </si>
  <si>
    <t>Pork</t>
  </si>
  <si>
    <t>Buckwheat</t>
  </si>
  <si>
    <t>Tomato</t>
  </si>
  <si>
    <t>Yam</t>
  </si>
  <si>
    <t>Mustard</t>
  </si>
  <si>
    <t>Antioxidants</t>
  </si>
  <si>
    <t>Alcohol (Residual)</t>
  </si>
  <si>
    <t>Added Fats &amp; Oils</t>
  </si>
  <si>
    <t>Animal</t>
  </si>
  <si>
    <t>Vegetable</t>
  </si>
  <si>
    <t>page 9</t>
  </si>
  <si>
    <t>Preservatives</t>
  </si>
  <si>
    <t>Herb</t>
  </si>
  <si>
    <t>Herb extract</t>
  </si>
  <si>
    <t>Spice</t>
  </si>
  <si>
    <t>Spice extract</t>
  </si>
  <si>
    <t>Hydrolysed Vegetable Proteins</t>
  </si>
  <si>
    <t>100% hydrolysis</t>
  </si>
  <si>
    <t>IF YES, complete the following table:</t>
  </si>
  <si>
    <t>You must specify COMPONENT TYPE in the above Section 2.5</t>
  </si>
  <si>
    <t>Intense sweetener</t>
  </si>
  <si>
    <t xml:space="preserve">Added Colours
</t>
  </si>
  <si>
    <t>Added Flavours</t>
  </si>
  <si>
    <t>Added Salt</t>
  </si>
  <si>
    <t>Grains, Seeds, Nuts  &amp; Spices</t>
  </si>
  <si>
    <t xml:space="preserve">Country of origin </t>
  </si>
  <si>
    <t>Product of</t>
  </si>
  <si>
    <t xml:space="preserve">Made in </t>
  </si>
  <si>
    <t>Grown in</t>
  </si>
  <si>
    <t>Declaration:</t>
  </si>
  <si>
    <t>Essential characteristic of the product is the result of local processing conditions</t>
  </si>
  <si>
    <t>1.3  CONTACT DETAILS FOR TECHNICAL &amp; ALLERGEN INFORMATION</t>
  </si>
  <si>
    <t>Please specify the contact details if further information related to technical or allergen information is needed:</t>
  </si>
  <si>
    <t>BUSINESS ADDRESS</t>
  </si>
  <si>
    <t>POSTAL ADDRESS</t>
  </si>
  <si>
    <t>7 )</t>
  </si>
  <si>
    <t>(f )</t>
  </si>
  <si>
    <t>Standard 1.3.4  - Identity and Purity</t>
  </si>
  <si>
    <t>acknowledges that the Customer, and Supply Chain Customers of the Customer, will rely on the accuracy of the Product Information for food quality, safety and labelling purposes;</t>
  </si>
  <si>
    <t>that the Product Information in relation to ingredients obtained from a third party relies in good faith on Product Information provided by that third party;</t>
  </si>
  <si>
    <t>certifies that the accuracy of the Product Information is limited to the following degree: –</t>
  </si>
  <si>
    <t>that the information is, to the best of the supplier's knowledge (having undertaken all reasonable verification procedures), true and accurate in relation to all other substances and processes;</t>
  </si>
  <si>
    <t>but will otherwise NOT disclose the Product Information.</t>
  </si>
  <si>
    <t>SPECIFY COUNTRY IMPORTED INTO</t>
  </si>
  <si>
    <t>SPECIFY COUNTRY EXPORTED FROM</t>
  </si>
  <si>
    <t>SPECIFY IMPORT TARIFF CODE</t>
  </si>
  <si>
    <t xml:space="preserve">1.5  CUSTOMER DETAILS (WHERE KNOWN)  </t>
  </si>
  <si>
    <t>CUSTOMER CONTACT NAME</t>
  </si>
  <si>
    <t>what precautionary statement is appropriate?</t>
  </si>
  <si>
    <t>Specify type/s</t>
  </si>
  <si>
    <t>Nutrient information is relevant to product      AS SUPPLIED</t>
  </si>
  <si>
    <t>mL of water to give</t>
  </si>
  <si>
    <t>mL of product</t>
  </si>
  <si>
    <t xml:space="preserve">Estimation content </t>
  </si>
  <si>
    <t>accounted for per 100</t>
  </si>
  <si>
    <t xml:space="preserve">added as an ingredient </t>
  </si>
  <si>
    <t>Specify the amount of sulphite:</t>
  </si>
  <si>
    <t xml:space="preserve">Total Sulphite </t>
  </si>
  <si>
    <t>6.6.6</t>
  </si>
  <si>
    <t>Provide a general description of unit packaging:</t>
  </si>
  <si>
    <t>8 )</t>
  </si>
  <si>
    <t>to its related businesses and partners who are involved in the acquisition, use, sale or compliance of the Product, under this same restriction as to disclosure.</t>
  </si>
  <si>
    <t>courts and other legal tribunals for the purposes of any proceedings; and</t>
  </si>
  <si>
    <t>acknowledges that, subject to the prior written agreement of the supplier and any restrictions nominated by the supplier in regard to disclosure of confidential information, the Customer may provide the Product Information to its own customers subject to those customers ensuring the information is not further disclosed.</t>
  </si>
  <si>
    <t xml:space="preserve">Cereals containing gluten &amp; their products </t>
  </si>
  <si>
    <t xml:space="preserve">Milk &amp; milk products </t>
  </si>
  <si>
    <t>Tree nuts &amp; tree nut products</t>
  </si>
  <si>
    <t>Soybeans &amp; soybean products (inc soybean oil)</t>
  </si>
  <si>
    <t>Peanuts &amp; peanut products (inc peanut oil)</t>
  </si>
  <si>
    <t>Sesame Seed &amp; sesame products</t>
  </si>
  <si>
    <t>Lupin &amp; lupin products</t>
  </si>
  <si>
    <t>Fish &amp; fish products (inc mollusc &amp; oils)</t>
  </si>
  <si>
    <t>Egg &amp; egg products</t>
  </si>
  <si>
    <t>Reserved for future allergen</t>
  </si>
  <si>
    <t>will inform the Customer in writing and in advance of any change to the Product Information provided herein (including any changes that result from new or modified processes) if and when the supplier becomes aware of such changes; and</t>
  </si>
  <si>
    <t xml:space="preserve"> Other  - please specify:</t>
  </si>
  <si>
    <t>Protein in derivative</t>
  </si>
  <si>
    <t xml:space="preserve">mg/kg </t>
  </si>
  <si>
    <t xml:space="preserve">protein level by VITAL , or specify "particulate"  </t>
  </si>
  <si>
    <r>
      <t xml:space="preserve">Copyright © 2012 Australian Food and Grocery Council. </t>
    </r>
    <r>
      <rPr>
        <sz val="8"/>
        <rFont val="Arial"/>
        <family val="2"/>
      </rPr>
      <t xml:space="preserve"> </t>
    </r>
    <r>
      <rPr>
        <sz val="7"/>
        <rFont val="Arial"/>
        <family val="2"/>
      </rPr>
      <t>You may download, display, print and reproduce this content but only in an unaltered form and with the copyright acknowledged </t>
    </r>
  </si>
  <si>
    <t>Invalid Claim, 
contains pork.</t>
  </si>
  <si>
    <r>
      <t>Animal &amp; Animal products</t>
    </r>
    <r>
      <rPr>
        <sz val="10"/>
        <color indexed="8"/>
        <rFont val="Arial"/>
        <family val="2"/>
      </rPr>
      <t xml:space="preserve">
(e.g. animal flesh, organs, stock, gelatine, animal fat, tallow, milk, collagen from skin and / or hides etc)</t>
    </r>
  </si>
  <si>
    <r>
      <t xml:space="preserve">Meat &amp; Meat products
</t>
    </r>
    <r>
      <rPr>
        <sz val="10"/>
        <color indexed="8"/>
        <rFont val="Arial"/>
        <family val="2"/>
      </rPr>
      <t>(e.g. animal flesh, animal organs, meat extracts)</t>
    </r>
    <r>
      <rPr>
        <b/>
        <sz val="10"/>
        <color indexed="8"/>
        <rFont val="Arial"/>
        <family val="2"/>
      </rPr>
      <t xml:space="preserve">
</t>
    </r>
  </si>
  <si>
    <t>VERSION 5.0 - released 15 May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</si>
</sst>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164" formatCode="0.0%"/>
    <numFmt numFmtId="165" formatCode="d/m/yyyy;@"/>
    <numFmt numFmtId="166" formatCode="0.0"/>
    <numFmt numFmtId="167" formatCode="[$-F800]dddd\,\ mmmm\ dd\,\ yyyy"/>
    <numFmt numFmtId="168" formatCode="0.000"/>
    <numFmt numFmtId="169" formatCode="[$-C09]dd\-mmmm\-yyyy;@"/>
    <numFmt numFmtId="170" formatCode="[$-C09]dd\-mmm\-yy;@"/>
  </numFmts>
  <fonts count="112" x14ac:knownFonts="1">
    <font>
      <sz val="10"/>
      <name val="Arial"/>
    </font>
    <font>
      <u/>
      <sz val="10"/>
      <color indexed="12"/>
      <name val="Arial"/>
      <family val="2"/>
    </font>
    <font>
      <sz val="11"/>
      <name val="Arial"/>
      <family val="2"/>
    </font>
    <font>
      <sz val="10"/>
      <name val="Arial"/>
      <family val="2"/>
    </font>
    <font>
      <b/>
      <sz val="10"/>
      <name val="Arial"/>
      <family val="2"/>
    </font>
    <font>
      <b/>
      <sz val="9"/>
      <name val="Arial"/>
      <family val="2"/>
    </font>
    <font>
      <sz val="9"/>
      <name val="Arial"/>
      <family val="2"/>
    </font>
    <font>
      <sz val="8"/>
      <name val="Arial"/>
      <family val="2"/>
    </font>
    <font>
      <sz val="11"/>
      <name val="Arial"/>
      <family val="2"/>
    </font>
    <font>
      <b/>
      <sz val="8"/>
      <name val="Arial"/>
      <family val="2"/>
    </font>
    <font>
      <sz val="8"/>
      <name val="Arial"/>
      <family val="2"/>
    </font>
    <font>
      <b/>
      <sz val="12"/>
      <name val="Arial"/>
      <family val="2"/>
    </font>
    <font>
      <b/>
      <sz val="14"/>
      <name val="Arial"/>
      <family val="2"/>
    </font>
    <font>
      <i/>
      <sz val="9"/>
      <name val="Arial"/>
      <family val="2"/>
    </font>
    <font>
      <sz val="7"/>
      <name val="Arial"/>
      <family val="2"/>
    </font>
    <font>
      <b/>
      <sz val="12"/>
      <color indexed="9"/>
      <name val="Arial"/>
      <family val="2"/>
    </font>
    <font>
      <b/>
      <i/>
      <sz val="9"/>
      <name val="Arial"/>
      <family val="2"/>
    </font>
    <font>
      <i/>
      <sz val="10"/>
      <name val="Arial"/>
      <family val="2"/>
    </font>
    <font>
      <b/>
      <sz val="7"/>
      <name val="Times New Roman"/>
      <family val="2"/>
    </font>
    <font>
      <b/>
      <u/>
      <sz val="10"/>
      <name val="Arial"/>
      <family val="2"/>
    </font>
    <font>
      <b/>
      <sz val="7"/>
      <color indexed="9"/>
      <name val="Times New Roman"/>
      <family val="2"/>
    </font>
    <font>
      <sz val="11"/>
      <color indexed="8"/>
      <name val="Calibri"/>
      <family val="2"/>
    </font>
    <font>
      <sz val="8"/>
      <name val="Arial"/>
      <family val="2"/>
    </font>
    <font>
      <sz val="10"/>
      <color indexed="9"/>
      <name val="Arial"/>
      <family val="2"/>
    </font>
    <font>
      <sz val="8"/>
      <color indexed="9"/>
      <name val="Arial"/>
      <family val="2"/>
    </font>
    <font>
      <sz val="10"/>
      <color indexed="8"/>
      <name val="Arial"/>
      <family val="2"/>
    </font>
    <font>
      <b/>
      <sz val="10"/>
      <color indexed="8"/>
      <name val="Arial"/>
      <family val="2"/>
    </font>
    <font>
      <b/>
      <sz val="10"/>
      <color indexed="9"/>
      <name val="Arial"/>
      <family val="2"/>
    </font>
    <font>
      <sz val="10"/>
      <name val="Arial"/>
      <family val="2"/>
    </font>
    <font>
      <sz val="10"/>
      <name val="Arial"/>
      <family val="2"/>
    </font>
    <font>
      <sz val="10"/>
      <color indexed="9"/>
      <name val="Arial"/>
      <family val="2"/>
    </font>
    <font>
      <sz val="9"/>
      <color indexed="9"/>
      <name val="Arial"/>
      <family val="2"/>
    </font>
    <font>
      <b/>
      <sz val="9"/>
      <color indexed="9"/>
      <name val="Arial"/>
      <family val="2"/>
    </font>
    <font>
      <b/>
      <sz val="12"/>
      <color indexed="9"/>
      <name val="Arial"/>
      <family val="2"/>
    </font>
    <font>
      <sz val="7"/>
      <color indexed="9"/>
      <name val="Arial"/>
      <family val="2"/>
    </font>
    <font>
      <sz val="10"/>
      <color indexed="9"/>
      <name val="Arial"/>
      <family val="2"/>
    </font>
    <font>
      <sz val="8"/>
      <color indexed="8"/>
      <name val="Arial"/>
      <family val="2"/>
    </font>
    <font>
      <sz val="10"/>
      <color indexed="8"/>
      <name val="Arial"/>
      <family val="2"/>
    </font>
    <font>
      <b/>
      <sz val="9"/>
      <color indexed="8"/>
      <name val="Arial"/>
      <family val="2"/>
    </font>
    <font>
      <sz val="12"/>
      <name val="Arial"/>
      <family val="2"/>
    </font>
    <font>
      <sz val="10"/>
      <color indexed="8"/>
      <name val="Arial"/>
      <family val="2"/>
    </font>
    <font>
      <sz val="8"/>
      <color indexed="8"/>
      <name val="Arial"/>
      <family val="2"/>
    </font>
    <font>
      <sz val="9"/>
      <color indexed="8"/>
      <name val="Arial"/>
      <family val="2"/>
    </font>
    <font>
      <sz val="10"/>
      <color indexed="8"/>
      <name val="Arial"/>
      <family val="2"/>
    </font>
    <font>
      <b/>
      <sz val="10"/>
      <color indexed="8"/>
      <name val="Arial"/>
      <family val="2"/>
    </font>
    <font>
      <sz val="10"/>
      <color indexed="10"/>
      <name val="Arial"/>
      <family val="2"/>
    </font>
    <font>
      <sz val="8"/>
      <color indexed="10"/>
      <name val="Arial"/>
      <family val="2"/>
    </font>
    <font>
      <b/>
      <sz val="10"/>
      <color indexed="13"/>
      <name val="Arial"/>
      <family val="2"/>
    </font>
    <font>
      <sz val="10"/>
      <color indexed="8"/>
      <name val="Arial"/>
      <family val="2"/>
    </font>
    <font>
      <b/>
      <sz val="12"/>
      <color indexed="8"/>
      <name val="Arial"/>
      <family val="2"/>
    </font>
    <font>
      <sz val="8.5"/>
      <name val="Arial"/>
      <family val="2"/>
    </font>
    <font>
      <sz val="10"/>
      <color indexed="10"/>
      <name val="Arial"/>
      <family val="2"/>
    </font>
    <font>
      <b/>
      <sz val="8"/>
      <color indexed="8"/>
      <name val="Arial"/>
      <family val="2"/>
    </font>
    <font>
      <sz val="7"/>
      <color indexed="8"/>
      <name val="Arial"/>
      <family val="2"/>
    </font>
    <font>
      <i/>
      <sz val="10"/>
      <color indexed="8"/>
      <name val="Arial"/>
      <family val="2"/>
    </font>
    <font>
      <sz val="10"/>
      <color indexed="10"/>
      <name val="Arial"/>
      <family val="2"/>
    </font>
    <font>
      <b/>
      <sz val="11"/>
      <name val="Arial"/>
      <family val="2"/>
    </font>
    <font>
      <b/>
      <sz val="8"/>
      <color indexed="9"/>
      <name val="Arial"/>
      <family val="2"/>
    </font>
    <font>
      <u/>
      <sz val="10"/>
      <name val="Arial"/>
      <family val="2"/>
    </font>
    <font>
      <i/>
      <sz val="8"/>
      <name val="Arial"/>
      <family val="2"/>
    </font>
    <font>
      <b/>
      <sz val="7"/>
      <name val="Arial"/>
      <family val="2"/>
    </font>
    <font>
      <sz val="10"/>
      <color indexed="10"/>
      <name val="Arial"/>
      <family val="2"/>
    </font>
    <font>
      <sz val="10"/>
      <color indexed="9"/>
      <name val="Arial"/>
      <family val="2"/>
    </font>
    <font>
      <sz val="9"/>
      <color indexed="9"/>
      <name val="Arial"/>
      <family val="2"/>
    </font>
    <font>
      <b/>
      <sz val="10"/>
      <color indexed="10"/>
      <name val="Arial"/>
      <family val="2"/>
    </font>
    <font>
      <b/>
      <sz val="9"/>
      <color indexed="43"/>
      <name val="Arial"/>
      <family val="2"/>
    </font>
    <font>
      <b/>
      <sz val="9.5"/>
      <color indexed="9"/>
      <name val="Arial"/>
      <family val="2"/>
    </font>
    <font>
      <i/>
      <sz val="9"/>
      <color indexed="8"/>
      <name val="Arial"/>
      <family val="2"/>
    </font>
    <font>
      <sz val="9"/>
      <color indexed="27"/>
      <name val="Arial"/>
      <family val="2"/>
    </font>
    <font>
      <sz val="9"/>
      <color indexed="8"/>
      <name val="Arial"/>
      <family val="2"/>
    </font>
    <font>
      <sz val="9"/>
      <color indexed="9"/>
      <name val="Arial"/>
      <family val="2"/>
    </font>
    <font>
      <sz val="10"/>
      <color indexed="9"/>
      <name val="Arial"/>
      <family val="2"/>
    </font>
    <font>
      <b/>
      <sz val="9"/>
      <color indexed="9"/>
      <name val="Arial"/>
      <family val="2"/>
    </font>
    <font>
      <sz val="8"/>
      <color indexed="9"/>
      <name val="Arial"/>
      <family val="2"/>
    </font>
    <font>
      <sz val="10"/>
      <color indexed="10"/>
      <name val="Arial"/>
      <family val="2"/>
    </font>
    <font>
      <b/>
      <sz val="10"/>
      <color indexed="10"/>
      <name val="Arial"/>
      <family val="2"/>
    </font>
    <font>
      <sz val="10"/>
      <color indexed="8"/>
      <name val="Arial"/>
      <family val="2"/>
    </font>
    <font>
      <b/>
      <sz val="16"/>
      <color indexed="8"/>
      <name val="Arial"/>
      <family val="2"/>
    </font>
    <font>
      <b/>
      <sz val="9"/>
      <color indexed="10"/>
      <name val="Arial"/>
      <family val="2"/>
    </font>
    <font>
      <sz val="8"/>
      <color indexed="10"/>
      <name val="Arial"/>
      <family val="2"/>
    </font>
    <font>
      <b/>
      <sz val="10"/>
      <color indexed="8"/>
      <name val="Arial"/>
      <family val="2"/>
    </font>
    <font>
      <b/>
      <sz val="10"/>
      <color indexed="8"/>
      <name val="Helv"/>
    </font>
    <font>
      <b/>
      <sz val="12"/>
      <color indexed="8"/>
      <name val="Arial"/>
      <family val="2"/>
    </font>
    <font>
      <sz val="11"/>
      <color indexed="8"/>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9"/>
      <color rgb="FFFF0000"/>
      <name val="Arial"/>
      <family val="2"/>
    </font>
    <font>
      <sz val="9"/>
      <color theme="0"/>
      <name val="Arial"/>
      <family val="2"/>
    </font>
    <font>
      <sz val="10"/>
      <color theme="0"/>
      <name val="Arial"/>
      <family val="2"/>
    </font>
    <font>
      <b/>
      <sz val="9"/>
      <color theme="0"/>
      <name val="Arial"/>
      <family val="2"/>
    </font>
    <font>
      <sz val="8"/>
      <color theme="0"/>
      <name val="Arial"/>
      <family val="2"/>
    </font>
    <font>
      <b/>
      <sz val="10"/>
      <color theme="0"/>
      <name val="Arial"/>
      <family val="2"/>
    </font>
    <font>
      <u/>
      <sz val="10"/>
      <color theme="0"/>
      <name val="Arial"/>
      <family val="2"/>
    </font>
    <font>
      <b/>
      <sz val="16"/>
      <color theme="0"/>
      <name val="Arial"/>
      <family val="2"/>
    </font>
    <font>
      <b/>
      <sz val="10"/>
      <color theme="1"/>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6"/>
        <bgColor indexed="64"/>
      </patternFill>
    </fill>
    <fill>
      <patternFill patternType="solid">
        <fgColor indexed="51"/>
        <bgColor indexed="64"/>
      </patternFill>
    </fill>
    <fill>
      <patternFill patternType="solid">
        <fgColor indexed="10"/>
        <bgColor indexed="64"/>
      </patternFill>
    </fill>
    <fill>
      <patternFill patternType="solid">
        <fgColor indexed="13"/>
        <bgColor indexed="64"/>
      </patternFill>
    </fill>
    <fill>
      <patternFill patternType="solid">
        <fgColor indexed="50"/>
        <bgColor indexed="64"/>
      </patternFill>
    </fill>
    <fill>
      <patternFill patternType="solid">
        <fgColor indexed="48"/>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8">
    <border>
      <left/>
      <right/>
      <top/>
      <bottom/>
      <diagonal/>
    </border>
    <border>
      <left/>
      <right/>
      <top style="thin">
        <color indexed="0"/>
      </top>
      <bottom/>
      <diagonal/>
    </border>
    <border>
      <left style="thin">
        <color indexed="0"/>
      </left>
      <right/>
      <top/>
      <bottom/>
      <diagonal/>
    </border>
    <border>
      <left style="thin">
        <color indexed="64"/>
      </left>
      <right/>
      <top/>
      <bottom/>
      <diagonal/>
    </border>
    <border>
      <left style="thin">
        <color indexed="8"/>
      </left>
      <right/>
      <top/>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top style="thin">
        <color indexed="8"/>
      </top>
      <bottom/>
      <diagonal/>
    </border>
    <border>
      <left/>
      <right/>
      <top style="thin">
        <color indexed="8"/>
      </top>
      <bottom/>
      <diagonal/>
    </border>
    <border>
      <left/>
      <right style="medium">
        <color indexed="0"/>
      </right>
      <top/>
      <bottom/>
      <diagonal/>
    </border>
    <border>
      <left style="thin">
        <color indexed="0"/>
      </left>
      <right/>
      <top style="thin">
        <color indexed="0"/>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bottom style="thin">
        <color indexed="64"/>
      </bottom>
      <diagonal/>
    </border>
    <border>
      <left/>
      <right/>
      <top style="thin">
        <color indexed="64"/>
      </top>
      <bottom/>
      <diagonal/>
    </border>
    <border>
      <left style="medium">
        <color indexed="0"/>
      </left>
      <right style="medium">
        <color indexed="0"/>
      </right>
      <top style="medium">
        <color indexed="0"/>
      </top>
      <bottom style="medium">
        <color indexed="0"/>
      </bottom>
      <diagonal/>
    </border>
    <border>
      <left style="thin">
        <color indexed="0"/>
      </left>
      <right style="thin">
        <color indexed="0"/>
      </right>
      <top style="thin">
        <color indexed="0"/>
      </top>
      <bottom style="thin">
        <color indexed="0"/>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0"/>
      </top>
      <bottom style="thin">
        <color indexed="0"/>
      </bottom>
      <diagonal/>
    </border>
    <border>
      <left style="thin">
        <color indexed="0"/>
      </left>
      <right/>
      <top/>
      <bottom style="thin">
        <color indexed="0"/>
      </bottom>
      <diagonal/>
    </border>
    <border>
      <left/>
      <right style="thin">
        <color indexed="0"/>
      </right>
      <top style="thin">
        <color indexed="0"/>
      </top>
      <bottom/>
      <diagonal/>
    </border>
    <border>
      <left style="thin">
        <color indexed="0"/>
      </left>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0"/>
      </left>
      <right/>
      <top/>
      <bottom style="thin">
        <color indexed="64"/>
      </bottom>
      <diagonal/>
    </border>
    <border>
      <left/>
      <right style="medium">
        <color indexed="0"/>
      </right>
      <top/>
      <bottom style="thin">
        <color indexed="64"/>
      </bottom>
      <diagonal/>
    </border>
    <border>
      <left/>
      <right style="medium">
        <color indexed="0"/>
      </right>
      <top style="thin">
        <color indexed="64"/>
      </top>
      <bottom/>
      <diagonal/>
    </border>
    <border>
      <left style="thin">
        <color indexed="0"/>
      </left>
      <right/>
      <top/>
      <bottom style="thin">
        <color indexed="8"/>
      </bottom>
      <diagonal/>
    </border>
    <border>
      <left/>
      <right/>
      <top/>
      <bottom style="thin">
        <color indexed="8"/>
      </bottom>
      <diagonal/>
    </border>
    <border>
      <left style="thin">
        <color indexed="64"/>
      </left>
      <right/>
      <top style="thin">
        <color indexed="0"/>
      </top>
      <bottom/>
      <diagonal/>
    </border>
    <border>
      <left style="thin">
        <color indexed="64"/>
      </left>
      <right/>
      <top/>
      <bottom style="thin">
        <color indexed="0"/>
      </bottom>
      <diagonal/>
    </border>
    <border>
      <left style="thin">
        <color indexed="0"/>
      </left>
      <right/>
      <top style="thin">
        <color indexed="0"/>
      </top>
      <bottom/>
      <diagonal/>
    </border>
    <border>
      <left/>
      <right style="medium">
        <color indexed="0"/>
      </right>
      <top style="thin">
        <color indexed="0"/>
      </top>
      <bottom/>
      <diagonal/>
    </border>
    <border>
      <left/>
      <right style="thin">
        <color indexed="64"/>
      </right>
      <top/>
      <bottom/>
      <diagonal/>
    </border>
    <border>
      <left/>
      <right style="thin">
        <color indexed="64"/>
      </right>
      <top style="thin">
        <color indexed="64"/>
      </top>
      <bottom/>
      <diagonal/>
    </border>
    <border>
      <left/>
      <right style="thin">
        <color indexed="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0"/>
      </bottom>
      <diagonal/>
    </border>
    <border>
      <left/>
      <right style="thin">
        <color indexed="8"/>
      </right>
      <top style="thin">
        <color indexed="8"/>
      </top>
      <bottom style="thin">
        <color indexed="0"/>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style="thin">
        <color indexed="8"/>
      </right>
      <top style="thin">
        <color indexed="0"/>
      </top>
      <bottom/>
      <diagonal/>
    </border>
    <border>
      <left/>
      <right style="thin">
        <color indexed="8"/>
      </right>
      <top/>
      <bottom/>
      <diagonal/>
    </border>
    <border>
      <left/>
      <right style="thin">
        <color indexed="8"/>
      </right>
      <top/>
      <bottom style="thin">
        <color indexed="0"/>
      </bottom>
      <diagonal/>
    </border>
    <border>
      <left style="medium">
        <color indexed="0"/>
      </left>
      <right/>
      <top style="thin">
        <color indexed="64"/>
      </top>
      <bottom style="thin">
        <color indexed="0"/>
      </bottom>
      <diagonal/>
    </border>
    <border>
      <left/>
      <right/>
      <top style="thin">
        <color indexed="64"/>
      </top>
      <bottom style="thin">
        <color indexed="0"/>
      </bottom>
      <diagonal/>
    </border>
    <border>
      <left/>
      <right style="medium">
        <color indexed="0"/>
      </right>
      <top style="thin">
        <color indexed="64"/>
      </top>
      <bottom style="thin">
        <color indexed="0"/>
      </bottom>
      <diagonal/>
    </border>
    <border>
      <left style="thin">
        <color indexed="0"/>
      </left>
      <right/>
      <top style="thin">
        <color indexed="64"/>
      </top>
      <bottom style="thin">
        <color indexed="0"/>
      </bottom>
      <diagonal/>
    </border>
    <border>
      <left/>
      <right style="thin">
        <color indexed="8"/>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0"/>
      </right>
      <top style="thin">
        <color indexed="8"/>
      </top>
      <bottom style="thin">
        <color indexed="8"/>
      </bottom>
      <diagonal/>
    </border>
    <border>
      <left/>
      <right style="thin">
        <color indexed="8"/>
      </right>
      <top style="thin">
        <color indexed="0"/>
      </top>
      <bottom style="thin">
        <color indexed="0"/>
      </bottom>
      <diagonal/>
    </border>
    <border>
      <left/>
      <right style="thin">
        <color indexed="0"/>
      </right>
      <top style="thin">
        <color indexed="64"/>
      </top>
      <bottom/>
      <diagonal/>
    </border>
    <border>
      <left style="medium">
        <color indexed="0"/>
      </left>
      <right/>
      <top/>
      <bottom/>
      <diagonal/>
    </border>
    <border>
      <left style="thin">
        <color indexed="64"/>
      </left>
      <right/>
      <top style="thin">
        <color indexed="64"/>
      </top>
      <bottom/>
      <diagonal/>
    </border>
    <border>
      <left/>
      <right style="thin">
        <color indexed="0"/>
      </right>
      <top style="thin">
        <color indexed="64"/>
      </top>
      <bottom style="thin">
        <color indexed="64"/>
      </bottom>
      <diagonal/>
    </border>
    <border>
      <left style="thin">
        <color indexed="64"/>
      </left>
      <right/>
      <top style="thin">
        <color indexed="64"/>
      </top>
      <bottom style="thin">
        <color indexed="0"/>
      </bottom>
      <diagonal/>
    </border>
    <border>
      <left/>
      <right style="thin">
        <color indexed="64"/>
      </right>
      <top style="thin">
        <color indexed="64"/>
      </top>
      <bottom style="thin">
        <color indexed="0"/>
      </bottom>
      <diagonal/>
    </border>
    <border>
      <left/>
      <right style="thin">
        <color indexed="64"/>
      </right>
      <top style="thin">
        <color indexed="0"/>
      </top>
      <bottom/>
      <diagonal/>
    </border>
    <border>
      <left/>
      <right style="thin">
        <color indexed="64"/>
      </right>
      <top/>
      <bottom style="thin">
        <color indexed="0"/>
      </bottom>
      <diagonal/>
    </border>
    <border>
      <left/>
      <right style="thin">
        <color indexed="0"/>
      </right>
      <top/>
      <bottom style="thin">
        <color indexed="64"/>
      </bottom>
      <diagonal/>
    </border>
    <border>
      <left style="thin">
        <color indexed="0"/>
      </left>
      <right/>
      <top style="thin">
        <color indexed="64"/>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right style="thin">
        <color indexed="64"/>
      </right>
      <top style="thin">
        <color indexed="0"/>
      </top>
      <bottom style="thin">
        <color indexed="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0"/>
      </left>
      <right/>
      <top/>
      <bottom style="thin">
        <color indexed="0"/>
      </bottom>
      <diagonal/>
    </border>
    <border>
      <left/>
      <right style="medium">
        <color indexed="0"/>
      </right>
      <top style="thin">
        <color indexed="64"/>
      </top>
      <bottom style="thin">
        <color indexed="64"/>
      </bottom>
      <diagonal/>
    </border>
    <border>
      <left style="thin">
        <color indexed="64"/>
      </left>
      <right/>
      <top style="thin">
        <color indexed="0"/>
      </top>
      <bottom style="thin">
        <color indexed="64"/>
      </bottom>
      <diagonal/>
    </border>
    <border>
      <left/>
      <right style="thin">
        <color indexed="0"/>
      </right>
      <top style="thin">
        <color indexed="64"/>
      </top>
      <bottom style="thin">
        <color indexed="0"/>
      </bottom>
      <diagonal/>
    </border>
    <border>
      <left/>
      <right style="thin">
        <color indexed="0"/>
      </right>
      <top style="thin">
        <color indexed="0"/>
      </top>
      <bottom style="thin">
        <color indexed="64"/>
      </bottom>
      <diagonal/>
    </border>
    <border>
      <left style="medium">
        <color indexed="0"/>
      </left>
      <right/>
      <top style="thin">
        <color indexed="0"/>
      </top>
      <bottom style="thin">
        <color indexed="64"/>
      </bottom>
      <diagonal/>
    </border>
    <border>
      <left/>
      <right style="medium">
        <color indexed="0"/>
      </right>
      <top style="thin">
        <color indexed="0"/>
      </top>
      <bottom style="thin">
        <color indexed="64"/>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0"/>
      </top>
      <bottom style="thin">
        <color indexed="8"/>
      </bottom>
      <diagonal/>
    </border>
    <border>
      <left/>
      <right style="thin">
        <color indexed="8"/>
      </right>
      <top style="thin">
        <color indexed="0"/>
      </top>
      <bottom style="thin">
        <color indexed="8"/>
      </bottom>
      <diagonal/>
    </border>
    <border>
      <left/>
      <right style="thin">
        <color indexed="0"/>
      </right>
      <top style="thin">
        <color indexed="8"/>
      </top>
      <bottom/>
      <diagonal/>
    </border>
    <border>
      <left style="thin">
        <color indexed="8"/>
      </left>
      <right/>
      <top/>
      <bottom style="thin">
        <color indexed="0"/>
      </bottom>
      <diagonal/>
    </border>
    <border>
      <left style="thin">
        <color indexed="0"/>
      </left>
      <right/>
      <top style="thin">
        <color indexed="8"/>
      </top>
      <bottom style="thin">
        <color indexed="0"/>
      </bottom>
      <diagonal/>
    </border>
    <border>
      <left/>
      <right/>
      <top style="thin">
        <color indexed="8"/>
      </top>
      <bottom style="thin">
        <color indexed="0"/>
      </bottom>
      <diagonal/>
    </border>
    <border>
      <left/>
      <right style="thin">
        <color indexed="0"/>
      </right>
      <top style="thin">
        <color indexed="8"/>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applyProtection="0"/>
    <xf numFmtId="167" fontId="85" fillId="2" borderId="0" applyNumberFormat="0" applyBorder="0" applyAlignment="0" applyProtection="0"/>
    <xf numFmtId="167" fontId="85" fillId="3" borderId="0" applyNumberFormat="0" applyBorder="0" applyAlignment="0" applyProtection="0"/>
    <xf numFmtId="167" fontId="85" fillId="4" borderId="0" applyNumberFormat="0" applyBorder="0" applyAlignment="0" applyProtection="0"/>
    <xf numFmtId="167" fontId="85" fillId="5" borderId="0" applyNumberFormat="0" applyBorder="0" applyAlignment="0" applyProtection="0"/>
    <xf numFmtId="167" fontId="85" fillId="28" borderId="0" applyNumberFormat="0" applyBorder="0" applyAlignment="0" applyProtection="0"/>
    <xf numFmtId="167" fontId="85" fillId="29" borderId="0" applyNumberFormat="0" applyBorder="0" applyAlignment="0" applyProtection="0"/>
    <xf numFmtId="167" fontId="85" fillId="30" borderId="0" applyNumberFormat="0" applyBorder="0" applyAlignment="0" applyProtection="0"/>
    <xf numFmtId="167" fontId="85" fillId="31" borderId="0" applyNumberFormat="0" applyBorder="0" applyAlignment="0" applyProtection="0"/>
    <xf numFmtId="167" fontId="85" fillId="6" borderId="0" applyNumberFormat="0" applyBorder="0" applyAlignment="0" applyProtection="0"/>
    <xf numFmtId="167" fontId="85" fillId="32" borderId="0" applyNumberFormat="0" applyBorder="0" applyAlignment="0" applyProtection="0"/>
    <xf numFmtId="167" fontId="85" fillId="33" borderId="0" applyNumberFormat="0" applyBorder="0" applyAlignment="0" applyProtection="0"/>
    <xf numFmtId="167" fontId="85" fillId="34" borderId="0" applyNumberFormat="0" applyBorder="0" applyAlignment="0" applyProtection="0"/>
    <xf numFmtId="167" fontId="86" fillId="35" borderId="0" applyNumberFormat="0" applyBorder="0" applyAlignment="0" applyProtection="0"/>
    <xf numFmtId="167" fontId="86" fillId="36" borderId="0" applyNumberFormat="0" applyBorder="0" applyAlignment="0" applyProtection="0"/>
    <xf numFmtId="167" fontId="86" fillId="6" borderId="0" applyNumberFormat="0" applyBorder="0" applyAlignment="0" applyProtection="0"/>
    <xf numFmtId="167" fontId="86" fillId="7" borderId="0" applyNumberFormat="0" applyBorder="0" applyAlignment="0" applyProtection="0"/>
    <xf numFmtId="167" fontId="86" fillId="37" borderId="0" applyNumberFormat="0" applyBorder="0" applyAlignment="0" applyProtection="0"/>
    <xf numFmtId="167" fontId="86" fillId="8" borderId="0" applyNumberFormat="0" applyBorder="0" applyAlignment="0" applyProtection="0"/>
    <xf numFmtId="167" fontId="86" fillId="38" borderId="0" applyNumberFormat="0" applyBorder="0" applyAlignment="0" applyProtection="0"/>
    <xf numFmtId="167" fontId="86" fillId="39" borderId="0" applyNumberFormat="0" applyBorder="0" applyAlignment="0" applyProtection="0"/>
    <xf numFmtId="167" fontId="86" fillId="40" borderId="0" applyNumberFormat="0" applyBorder="0" applyAlignment="0" applyProtection="0"/>
    <xf numFmtId="167" fontId="86" fillId="41" borderId="0" applyNumberFormat="0" applyBorder="0" applyAlignment="0" applyProtection="0"/>
    <xf numFmtId="167" fontId="86" fillId="42" borderId="0" applyNumberFormat="0" applyBorder="0" applyAlignment="0" applyProtection="0"/>
    <xf numFmtId="167" fontId="86" fillId="43" borderId="0" applyNumberFormat="0" applyBorder="0" applyAlignment="0" applyProtection="0"/>
    <xf numFmtId="167" fontId="87" fillId="44" borderId="0" applyNumberFormat="0" applyBorder="0" applyAlignment="0" applyProtection="0"/>
    <xf numFmtId="167" fontId="88" fillId="45" borderId="99" applyNumberFormat="0" applyAlignment="0" applyProtection="0"/>
    <xf numFmtId="167" fontId="89" fillId="46" borderId="100" applyNumberFormat="0" applyAlignment="0" applyProtection="0"/>
    <xf numFmtId="44" fontId="28" fillId="0" borderId="0" applyFont="0" applyFill="0" applyBorder="0" applyAlignment="0" applyProtection="0"/>
    <xf numFmtId="167" fontId="90" fillId="0" borderId="0" applyNumberFormat="0" applyFill="0" applyBorder="0" applyAlignment="0" applyProtection="0"/>
    <xf numFmtId="167" fontId="91" fillId="47" borderId="0" applyNumberFormat="0" applyBorder="0" applyAlignment="0" applyProtection="0"/>
    <xf numFmtId="167" fontId="92" fillId="0" borderId="101" applyNumberFormat="0" applyFill="0" applyAlignment="0" applyProtection="0"/>
    <xf numFmtId="167" fontId="93" fillId="0" borderId="102" applyNumberFormat="0" applyFill="0" applyAlignment="0" applyProtection="0"/>
    <xf numFmtId="167" fontId="94" fillId="0" borderId="103" applyNumberFormat="0" applyFill="0" applyAlignment="0" applyProtection="0"/>
    <xf numFmtId="167" fontId="94" fillId="0" borderId="0" applyNumberFormat="0" applyFill="0" applyBorder="0" applyAlignment="0" applyProtection="0"/>
    <xf numFmtId="167" fontId="1" fillId="0" borderId="0" applyNumberFormat="0" applyFill="0" applyBorder="0" applyAlignment="0" applyProtection="0"/>
    <xf numFmtId="167" fontId="95" fillId="48" borderId="99" applyNumberFormat="0" applyAlignment="0" applyProtection="0"/>
    <xf numFmtId="167" fontId="96" fillId="0" borderId="104" applyNumberFormat="0" applyFill="0" applyAlignment="0" applyProtection="0"/>
    <xf numFmtId="167" fontId="97" fillId="49" borderId="0" applyNumberFormat="0" applyBorder="0" applyAlignment="0" applyProtection="0"/>
    <xf numFmtId="167" fontId="21" fillId="50" borderId="105" applyNumberFormat="0" applyFont="0" applyAlignment="0" applyProtection="0"/>
    <xf numFmtId="167" fontId="98" fillId="45" borderId="106" applyNumberFormat="0" applyAlignment="0" applyProtection="0"/>
    <xf numFmtId="9" fontId="29" fillId="0" borderId="0" applyFont="0" applyFill="0" applyBorder="0" applyAlignment="0" applyProtection="0"/>
    <xf numFmtId="167" fontId="99" fillId="0" borderId="0" applyNumberFormat="0" applyFill="0" applyBorder="0" applyAlignment="0" applyProtection="0"/>
    <xf numFmtId="167" fontId="100" fillId="0" borderId="107" applyNumberFormat="0" applyFill="0" applyAlignment="0" applyProtection="0"/>
    <xf numFmtId="167" fontId="101" fillId="0" borderId="0" applyNumberFormat="0" applyFill="0" applyBorder="0" applyAlignment="0" applyProtection="0"/>
  </cellStyleXfs>
  <cellXfs count="1997">
    <xf numFmtId="0" fontId="0" fillId="0" borderId="0" xfId="0"/>
    <xf numFmtId="0" fontId="0" fillId="9" borderId="0" xfId="0" applyFill="1"/>
    <xf numFmtId="0" fontId="0" fillId="9" borderId="0" xfId="0" applyFill="1" applyAlignment="1" applyProtection="1">
      <alignment horizontal="right" vertical="top"/>
    </xf>
    <xf numFmtId="0" fontId="12" fillId="9" borderId="0" xfId="0" applyFont="1" applyFill="1" applyBorder="1" applyAlignment="1">
      <alignment horizontal="left" wrapText="1"/>
    </xf>
    <xf numFmtId="0" fontId="0" fillId="9" borderId="0" xfId="0" applyFill="1" applyAlignment="1"/>
    <xf numFmtId="0" fontId="4" fillId="9" borderId="0" xfId="0" applyFont="1" applyFill="1"/>
    <xf numFmtId="0" fontId="0" fillId="0" borderId="0" xfId="0" applyBorder="1" applyAlignment="1">
      <alignment horizontal="left" wrapText="1"/>
    </xf>
    <xf numFmtId="0" fontId="10" fillId="9" borderId="0" xfId="0" applyFont="1" applyFill="1" applyAlignment="1">
      <alignment wrapText="1"/>
    </xf>
    <xf numFmtId="0" fontId="0" fillId="9" borderId="0" xfId="0" applyFill="1" applyProtection="1"/>
    <xf numFmtId="0" fontId="0" fillId="9" borderId="0" xfId="0" applyFill="1" applyAlignment="1">
      <alignment wrapText="1"/>
    </xf>
    <xf numFmtId="0" fontId="4" fillId="0" borderId="0" xfId="0" applyFont="1"/>
    <xf numFmtId="0" fontId="0" fillId="9" borderId="0" xfId="0" applyFill="1" applyBorder="1" applyProtection="1"/>
    <xf numFmtId="0" fontId="3" fillId="9" borderId="0" xfId="0" applyFont="1" applyFill="1"/>
    <xf numFmtId="0" fontId="3" fillId="9" borderId="0" xfId="0" applyFont="1" applyFill="1" applyAlignment="1">
      <alignment horizontal="left" indent="2"/>
    </xf>
    <xf numFmtId="0" fontId="3" fillId="9" borderId="0" xfId="0" applyFont="1" applyFill="1" applyAlignment="1">
      <alignment horizontal="left"/>
    </xf>
    <xf numFmtId="0" fontId="0" fillId="9" borderId="0" xfId="0" applyFill="1" applyAlignment="1">
      <alignment vertical="top"/>
    </xf>
    <xf numFmtId="0" fontId="0" fillId="9" borderId="0" xfId="0" applyFill="1" applyAlignment="1">
      <alignment horizontal="right" vertical="top"/>
    </xf>
    <xf numFmtId="0" fontId="3" fillId="9" borderId="0" xfId="0" applyFont="1" applyFill="1" applyAlignment="1">
      <alignment horizontal="left" indent="8"/>
    </xf>
    <xf numFmtId="0" fontId="0" fillId="9" borderId="0" xfId="0" applyFill="1" applyAlignment="1">
      <alignment horizontal="right"/>
    </xf>
    <xf numFmtId="165" fontId="0" fillId="9" borderId="1" xfId="0" applyNumberFormat="1" applyFill="1" applyBorder="1" applyAlignment="1"/>
    <xf numFmtId="0" fontId="0" fillId="9" borderId="1" xfId="0" applyFill="1" applyBorder="1"/>
    <xf numFmtId="0" fontId="0" fillId="9" borderId="0" xfId="0" applyFill="1" applyBorder="1"/>
    <xf numFmtId="0" fontId="16" fillId="9" borderId="0" xfId="0" applyFont="1" applyFill="1"/>
    <xf numFmtId="0" fontId="9" fillId="9" borderId="0" xfId="0" applyFont="1" applyFill="1" applyBorder="1" applyAlignment="1">
      <alignment vertical="top"/>
    </xf>
    <xf numFmtId="0" fontId="5" fillId="9" borderId="0" xfId="0" applyFont="1" applyFill="1"/>
    <xf numFmtId="0" fontId="4" fillId="9" borderId="0" xfId="0" applyFont="1" applyFill="1" applyAlignment="1"/>
    <xf numFmtId="0" fontId="6" fillId="9" borderId="0" xfId="0" applyFont="1" applyFill="1" applyBorder="1" applyAlignment="1"/>
    <xf numFmtId="0" fontId="3" fillId="9" borderId="0" xfId="0" applyFont="1" applyFill="1" applyAlignment="1"/>
    <xf numFmtId="0" fontId="0" fillId="9" borderId="2" xfId="0" applyFill="1" applyBorder="1"/>
    <xf numFmtId="0" fontId="0" fillId="9" borderId="3" xfId="0" applyFill="1" applyBorder="1"/>
    <xf numFmtId="0" fontId="7" fillId="9" borderId="0" xfId="0" applyFont="1" applyFill="1" applyAlignment="1">
      <alignment horizontal="left" wrapText="1"/>
    </xf>
    <xf numFmtId="0" fontId="6" fillId="9" borderId="0" xfId="0" applyFont="1" applyFill="1" applyAlignment="1">
      <alignment wrapText="1"/>
    </xf>
    <xf numFmtId="0" fontId="0" fillId="9" borderId="0" xfId="0" applyNumberFormat="1" applyFill="1"/>
    <xf numFmtId="0" fontId="0" fillId="9" borderId="0" xfId="0" applyFill="1" applyAlignment="1" applyProtection="1">
      <alignment horizontal="right"/>
    </xf>
    <xf numFmtId="0" fontId="3" fillId="9" borderId="0" xfId="0" applyFont="1" applyFill="1" applyAlignment="1" applyProtection="1">
      <alignment horizontal="left" vertical="top"/>
    </xf>
    <xf numFmtId="0" fontId="4" fillId="9" borderId="0" xfId="0" applyFont="1" applyFill="1" applyAlignment="1">
      <alignment wrapText="1"/>
    </xf>
    <xf numFmtId="0" fontId="0" fillId="9" borderId="0" xfId="0" applyFill="1" applyAlignment="1" applyProtection="1">
      <alignment horizontal="left" vertical="top"/>
    </xf>
    <xf numFmtId="0" fontId="0" fillId="9" borderId="0" xfId="0" applyFill="1" applyAlignment="1" applyProtection="1">
      <alignment horizontal="left"/>
    </xf>
    <xf numFmtId="0" fontId="4" fillId="9" borderId="0" xfId="0" applyFont="1" applyFill="1" applyAlignment="1" applyProtection="1">
      <alignment horizontal="left" vertical="top"/>
    </xf>
    <xf numFmtId="0" fontId="5" fillId="9" borderId="0" xfId="0" applyFont="1" applyFill="1" applyBorder="1" applyAlignment="1">
      <alignment vertical="top"/>
    </xf>
    <xf numFmtId="0" fontId="4" fillId="9" borderId="0" xfId="0" applyFont="1" applyFill="1" applyBorder="1" applyAlignment="1">
      <alignment vertical="top"/>
    </xf>
    <xf numFmtId="0" fontId="0" fillId="9" borderId="0" xfId="0" applyFill="1" applyBorder="1" applyAlignment="1">
      <alignment wrapText="1"/>
    </xf>
    <xf numFmtId="0" fontId="3" fillId="9" borderId="0" xfId="0" applyFont="1" applyFill="1" applyAlignment="1" applyProtection="1">
      <alignment horizontal="left"/>
    </xf>
    <xf numFmtId="0" fontId="3" fillId="0" borderId="0" xfId="0" applyNumberFormat="1" applyFont="1"/>
    <xf numFmtId="0" fontId="3" fillId="9" borderId="0" xfId="0" applyFont="1" applyFill="1" applyBorder="1" applyAlignment="1">
      <alignment horizontal="left" wrapText="1"/>
    </xf>
    <xf numFmtId="0" fontId="3" fillId="9" borderId="0" xfId="0" applyFont="1" applyFill="1" applyBorder="1" applyAlignment="1">
      <alignment horizontal="left"/>
    </xf>
    <xf numFmtId="0" fontId="3" fillId="9" borderId="0" xfId="0" applyFont="1" applyFill="1" applyBorder="1" applyAlignment="1">
      <alignment horizontal="right"/>
    </xf>
    <xf numFmtId="0" fontId="0" fillId="9" borderId="0" xfId="0" applyNumberFormat="1" applyFill="1" applyBorder="1" applyAlignment="1">
      <alignment wrapText="1"/>
    </xf>
    <xf numFmtId="0" fontId="3" fillId="9" borderId="0" xfId="0" applyNumberFormat="1" applyFont="1" applyFill="1" applyBorder="1" applyAlignment="1"/>
    <xf numFmtId="0" fontId="0" fillId="9" borderId="0" xfId="0" applyNumberFormat="1" applyFill="1" applyBorder="1" applyAlignment="1"/>
    <xf numFmtId="0" fontId="0" fillId="9" borderId="0" xfId="0" applyFill="1" applyBorder="1" applyAlignment="1">
      <alignment vertical="top" wrapText="1"/>
    </xf>
    <xf numFmtId="0" fontId="0" fillId="9" borderId="0" xfId="0" applyNumberFormat="1" applyFill="1" applyProtection="1"/>
    <xf numFmtId="0" fontId="4" fillId="0" borderId="0" xfId="0" applyNumberFormat="1" applyFont="1"/>
    <xf numFmtId="0" fontId="0" fillId="9" borderId="0" xfId="0" applyNumberFormat="1" applyFill="1" applyAlignment="1" applyProtection="1">
      <alignment horizontal="right" vertical="top"/>
    </xf>
    <xf numFmtId="0" fontId="0" fillId="9" borderId="4" xfId="0" applyFill="1" applyBorder="1"/>
    <xf numFmtId="0" fontId="3" fillId="9" borderId="0" xfId="0" applyNumberFormat="1" applyFont="1" applyFill="1" applyBorder="1" applyAlignment="1">
      <alignment wrapText="1"/>
    </xf>
    <xf numFmtId="0" fontId="7" fillId="9" borderId="0" xfId="0" applyFont="1" applyFill="1" applyAlignment="1">
      <alignment wrapText="1"/>
    </xf>
    <xf numFmtId="0" fontId="4" fillId="9" borderId="0" xfId="0" applyFont="1" applyFill="1" applyBorder="1" applyAlignment="1">
      <alignment wrapText="1"/>
    </xf>
    <xf numFmtId="0" fontId="4" fillId="9" borderId="0" xfId="0" applyNumberFormat="1" applyFont="1" applyFill="1" applyAlignment="1"/>
    <xf numFmtId="0" fontId="4" fillId="9" borderId="0" xfId="0" applyFont="1" applyFill="1" applyBorder="1" applyAlignment="1"/>
    <xf numFmtId="0" fontId="13" fillId="9" borderId="0" xfId="0" applyNumberFormat="1" applyFont="1" applyFill="1" applyAlignment="1">
      <alignment vertical="center"/>
    </xf>
    <xf numFmtId="0" fontId="13" fillId="9" borderId="0" xfId="0" applyFont="1" applyFill="1" applyAlignment="1">
      <alignment vertical="center" wrapText="1"/>
    </xf>
    <xf numFmtId="0" fontId="4" fillId="9" borderId="0" xfId="0" applyNumberFormat="1" applyFont="1" applyFill="1" applyAlignment="1">
      <alignment wrapText="1"/>
    </xf>
    <xf numFmtId="0" fontId="3" fillId="9" borderId="0" xfId="0" applyNumberFormat="1" applyFont="1" applyFill="1"/>
    <xf numFmtId="0" fontId="31" fillId="9" borderId="0" xfId="0" applyFont="1" applyFill="1" applyAlignment="1">
      <alignment vertical="top"/>
    </xf>
    <xf numFmtId="0" fontId="32" fillId="9" borderId="0" xfId="0" applyFont="1" applyFill="1" applyAlignment="1">
      <alignment vertical="top" wrapText="1"/>
    </xf>
    <xf numFmtId="0" fontId="30" fillId="9" borderId="0" xfId="0" applyNumberFormat="1" applyFont="1" applyFill="1"/>
    <xf numFmtId="0" fontId="3" fillId="9" borderId="0" xfId="0" applyFont="1" applyFill="1" applyAlignment="1">
      <alignment horizontal="right" vertical="top"/>
    </xf>
    <xf numFmtId="0" fontId="3" fillId="9" borderId="0" xfId="0" applyNumberFormat="1" applyFont="1" applyFill="1" applyBorder="1" applyAlignment="1">
      <alignment vertical="top"/>
    </xf>
    <xf numFmtId="0" fontId="0" fillId="9" borderId="0" xfId="0" applyNumberFormat="1" applyFill="1" applyBorder="1" applyAlignment="1">
      <alignment vertical="top" wrapText="1"/>
    </xf>
    <xf numFmtId="0" fontId="0" fillId="9" borderId="0" xfId="0" applyFill="1" applyAlignment="1" applyProtection="1">
      <alignment vertical="center"/>
    </xf>
    <xf numFmtId="0" fontId="6" fillId="9" borderId="0" xfId="0" applyFont="1" applyFill="1"/>
    <xf numFmtId="0" fontId="4" fillId="9" borderId="0" xfId="0" applyNumberFormat="1" applyFont="1" applyFill="1"/>
    <xf numFmtId="0" fontId="3" fillId="9" borderId="5" xfId="0" applyFont="1" applyFill="1" applyBorder="1" applyAlignment="1"/>
    <xf numFmtId="0" fontId="6" fillId="9" borderId="0" xfId="0" applyFont="1" applyFill="1" applyBorder="1" applyAlignment="1">
      <alignment vertical="top" wrapText="1"/>
    </xf>
    <xf numFmtId="0" fontId="25" fillId="9" borderId="0" xfId="0" applyFont="1" applyFill="1"/>
    <xf numFmtId="0" fontId="25" fillId="9" borderId="0" xfId="0" applyNumberFormat="1" applyFont="1" applyFill="1"/>
    <xf numFmtId="0" fontId="23" fillId="9" borderId="0" xfId="0" applyFont="1" applyFill="1"/>
    <xf numFmtId="0" fontId="25" fillId="9" borderId="0" xfId="0" applyFont="1" applyFill="1" applyBorder="1" applyAlignment="1" applyProtection="1">
      <alignment horizontal="left"/>
    </xf>
    <xf numFmtId="0" fontId="4" fillId="9" borderId="0" xfId="0" applyFont="1" applyFill="1" applyBorder="1" applyAlignment="1">
      <alignment horizontal="right"/>
    </xf>
    <xf numFmtId="0" fontId="3" fillId="9" borderId="0" xfId="0" applyFont="1" applyFill="1" applyBorder="1" applyAlignment="1">
      <alignment horizontal="right" wrapText="1"/>
    </xf>
    <xf numFmtId="0" fontId="4" fillId="9" borderId="0" xfId="0" applyFont="1" applyFill="1" applyBorder="1" applyAlignment="1">
      <alignment horizontal="right" wrapText="1"/>
    </xf>
    <xf numFmtId="0" fontId="4" fillId="9" borderId="0" xfId="0" applyFont="1" applyFill="1" applyBorder="1" applyAlignment="1">
      <alignment horizontal="left"/>
    </xf>
    <xf numFmtId="0" fontId="23" fillId="9" borderId="0" xfId="0" applyFont="1" applyFill="1" applyBorder="1" applyAlignment="1"/>
    <xf numFmtId="0" fontId="6" fillId="0" borderId="0" xfId="0" applyFont="1" applyBorder="1" applyAlignment="1">
      <alignment wrapText="1"/>
    </xf>
    <xf numFmtId="0" fontId="6" fillId="9" borderId="0" xfId="0" applyFont="1" applyFill="1" applyBorder="1" applyAlignment="1">
      <alignment wrapText="1"/>
    </xf>
    <xf numFmtId="0" fontId="3" fillId="9" borderId="0" xfId="0" applyFont="1" applyFill="1" applyAlignment="1" applyProtection="1"/>
    <xf numFmtId="0" fontId="0" fillId="9" borderId="0" xfId="0" applyFill="1" applyBorder="1" applyAlignment="1" applyProtection="1">
      <alignment horizontal="right" vertical="top"/>
    </xf>
    <xf numFmtId="0" fontId="3" fillId="9" borderId="0" xfId="0" applyNumberFormat="1" applyFont="1" applyFill="1" applyBorder="1" applyAlignment="1">
      <alignment horizontal="left"/>
    </xf>
    <xf numFmtId="0" fontId="0" fillId="9" borderId="0" xfId="0" applyFill="1" applyBorder="1" applyAlignment="1" applyProtection="1">
      <alignment wrapText="1"/>
    </xf>
    <xf numFmtId="0" fontId="27" fillId="9" borderId="0" xfId="0" applyFont="1" applyFill="1" applyAlignment="1">
      <alignment horizontal="left"/>
    </xf>
    <xf numFmtId="0" fontId="35" fillId="9" borderId="0" xfId="0" applyFont="1" applyFill="1"/>
    <xf numFmtId="164" fontId="25" fillId="9" borderId="0" xfId="0" applyNumberFormat="1" applyFont="1" applyFill="1" applyBorder="1" applyAlignment="1" applyProtection="1">
      <alignment wrapText="1"/>
    </xf>
    <xf numFmtId="0" fontId="3" fillId="9" borderId="0" xfId="0" applyNumberFormat="1" applyFont="1" applyFill="1" applyBorder="1" applyAlignment="1" applyProtection="1">
      <alignment wrapText="1"/>
    </xf>
    <xf numFmtId="166" fontId="3" fillId="9" borderId="0" xfId="0" applyNumberFormat="1" applyFont="1" applyFill="1" applyBorder="1" applyAlignment="1" applyProtection="1">
      <alignment wrapText="1"/>
    </xf>
    <xf numFmtId="0" fontId="3" fillId="9" borderId="0" xfId="0" applyFont="1" applyFill="1" applyBorder="1" applyAlignment="1" applyProtection="1">
      <alignment wrapText="1"/>
    </xf>
    <xf numFmtId="164" fontId="3" fillId="9" borderId="0" xfId="0" applyNumberFormat="1" applyFont="1" applyFill="1" applyBorder="1" applyAlignment="1" applyProtection="1">
      <alignment wrapText="1"/>
    </xf>
    <xf numFmtId="0" fontId="9" fillId="9" borderId="0" xfId="0" applyFont="1" applyFill="1" applyBorder="1" applyAlignment="1" applyProtection="1">
      <alignment vertical="top"/>
    </xf>
    <xf numFmtId="0" fontId="4" fillId="0" borderId="0" xfId="0" applyFont="1" applyProtection="1"/>
    <xf numFmtId="0" fontId="4" fillId="9" borderId="0" xfId="0" applyFont="1" applyFill="1" applyProtection="1"/>
    <xf numFmtId="0" fontId="3" fillId="9" borderId="0" xfId="0" applyFont="1" applyFill="1" applyBorder="1" applyAlignment="1" applyProtection="1">
      <alignment horizontal="left"/>
    </xf>
    <xf numFmtId="0" fontId="4" fillId="0" borderId="0" xfId="0" applyFont="1" applyAlignment="1" applyProtection="1">
      <alignment vertical="center"/>
    </xf>
    <xf numFmtId="0" fontId="3" fillId="9" borderId="0" xfId="0" applyFont="1" applyFill="1" applyProtection="1"/>
    <xf numFmtId="1" fontId="0" fillId="9" borderId="0" xfId="0" applyNumberFormat="1" applyFill="1" applyBorder="1" applyAlignment="1" applyProtection="1">
      <alignment wrapText="1"/>
    </xf>
    <xf numFmtId="0" fontId="36" fillId="9" borderId="0" xfId="0" applyFont="1" applyFill="1" applyAlignment="1">
      <alignment horizontal="right"/>
    </xf>
    <xf numFmtId="0" fontId="36" fillId="9" borderId="0" xfId="0" applyNumberFormat="1" applyFont="1" applyFill="1" applyBorder="1" applyAlignment="1">
      <alignment horizontal="right"/>
    </xf>
    <xf numFmtId="0" fontId="0" fillId="9" borderId="0" xfId="0" applyNumberFormat="1" applyFill="1" applyBorder="1" applyAlignment="1">
      <alignment horizontal="left"/>
    </xf>
    <xf numFmtId="0" fontId="0" fillId="9" borderId="0" xfId="0" applyFill="1" applyAlignment="1">
      <alignment vertical="top" wrapText="1"/>
    </xf>
    <xf numFmtId="0" fontId="3" fillId="9" borderId="0" xfId="0" applyFont="1" applyFill="1" applyAlignment="1" applyProtection="1">
      <alignment horizontal="left" wrapText="1"/>
    </xf>
    <xf numFmtId="0" fontId="25" fillId="9" borderId="0" xfId="0" applyNumberFormat="1" applyFont="1" applyFill="1" applyBorder="1" applyAlignment="1"/>
    <xf numFmtId="0" fontId="3" fillId="9" borderId="0" xfId="0" applyFont="1" applyFill="1" applyAlignment="1" applyProtection="1">
      <alignment horizontal="right" vertical="top"/>
    </xf>
    <xf numFmtId="0" fontId="3" fillId="9" borderId="0" xfId="0" applyFont="1" applyFill="1" applyBorder="1" applyAlignment="1">
      <alignment vertical="top"/>
    </xf>
    <xf numFmtId="0" fontId="6" fillId="9" borderId="0" xfId="0" applyFont="1" applyFill="1" applyAlignment="1">
      <alignment vertical="top" wrapText="1"/>
    </xf>
    <xf numFmtId="0" fontId="6" fillId="9" borderId="0" xfId="0" applyFont="1" applyFill="1" applyBorder="1" applyAlignment="1">
      <alignment vertical="top"/>
    </xf>
    <xf numFmtId="0" fontId="3" fillId="9" borderId="0" xfId="0" applyFont="1" applyFill="1" applyBorder="1" applyAlignment="1"/>
    <xf numFmtId="0" fontId="25" fillId="9" borderId="0" xfId="0" applyFont="1" applyFill="1" applyAlignment="1">
      <alignment horizontal="right"/>
    </xf>
    <xf numFmtId="0" fontId="5" fillId="10" borderId="5" xfId="0" applyFont="1" applyFill="1" applyBorder="1" applyAlignment="1">
      <alignment horizontal="center" wrapText="1"/>
    </xf>
    <xf numFmtId="0" fontId="5" fillId="10" borderId="6" xfId="0" applyFont="1" applyFill="1" applyBorder="1" applyAlignment="1">
      <alignment horizontal="center" wrapText="1"/>
    </xf>
    <xf numFmtId="0" fontId="4" fillId="10" borderId="7" xfId="0" applyFont="1" applyFill="1" applyBorder="1"/>
    <xf numFmtId="0" fontId="0" fillId="10" borderId="8" xfId="0" applyFill="1" applyBorder="1"/>
    <xf numFmtId="0" fontId="3" fillId="9" borderId="0" xfId="0" applyFont="1" applyFill="1" applyBorder="1" applyAlignment="1">
      <alignment wrapText="1"/>
    </xf>
    <xf numFmtId="0" fontId="6" fillId="9" borderId="9" xfId="0" applyFont="1" applyFill="1" applyBorder="1" applyAlignment="1">
      <alignment horizontal="right"/>
    </xf>
    <xf numFmtId="0" fontId="4" fillId="10" borderId="10" xfId="0" applyFont="1" applyFill="1" applyBorder="1" applyAlignment="1"/>
    <xf numFmtId="0" fontId="5" fillId="10" borderId="10" xfId="0" applyFont="1" applyFill="1" applyBorder="1" applyAlignment="1"/>
    <xf numFmtId="0" fontId="5" fillId="10" borderId="11" xfId="0" applyFont="1" applyFill="1" applyBorder="1" applyAlignment="1"/>
    <xf numFmtId="0" fontId="3" fillId="9" borderId="0" xfId="0" applyFont="1" applyFill="1" applyBorder="1" applyAlignment="1">
      <alignment vertical="center"/>
    </xf>
    <xf numFmtId="0" fontId="4" fillId="9" borderId="1" xfId="0" applyFont="1" applyFill="1" applyBorder="1" applyAlignment="1"/>
    <xf numFmtId="0" fontId="25" fillId="9" borderId="0" xfId="0" applyFont="1" applyFill="1" applyBorder="1" applyAlignment="1" applyProtection="1"/>
    <xf numFmtId="0" fontId="4" fillId="9" borderId="0" xfId="0" applyNumberFormat="1" applyFont="1" applyFill="1" applyBorder="1" applyAlignment="1">
      <alignment horizontal="left"/>
    </xf>
    <xf numFmtId="49" fontId="4" fillId="9" borderId="0" xfId="0" applyNumberFormat="1" applyFont="1" applyFill="1" applyAlignment="1" applyProtection="1">
      <alignment horizontal="left"/>
    </xf>
    <xf numFmtId="0" fontId="3" fillId="9" borderId="0" xfId="0" applyNumberFormat="1" applyFont="1" applyFill="1" applyBorder="1" applyAlignment="1">
      <alignment horizontal="right"/>
    </xf>
    <xf numFmtId="0" fontId="9" fillId="9" borderId="0" xfId="0" applyFont="1" applyFill="1" applyBorder="1" applyAlignment="1">
      <alignment vertical="center"/>
    </xf>
    <xf numFmtId="0" fontId="6" fillId="9" borderId="0" xfId="0" applyFont="1" applyFill="1" applyBorder="1" applyAlignment="1">
      <alignment vertical="center"/>
    </xf>
    <xf numFmtId="0" fontId="39" fillId="9" borderId="0" xfId="0" applyNumberFormat="1" applyFont="1" applyFill="1"/>
    <xf numFmtId="1" fontId="39" fillId="9" borderId="0" xfId="0" applyNumberFormat="1" applyFont="1" applyFill="1"/>
    <xf numFmtId="0" fontId="23" fillId="9" borderId="0" xfId="0" applyFont="1" applyFill="1" applyAlignment="1" applyProtection="1">
      <alignment horizontal="left" vertical="center"/>
    </xf>
    <xf numFmtId="0" fontId="3" fillId="9" borderId="0" xfId="0" applyFont="1" applyFill="1" applyAlignment="1" applyProtection="1">
      <alignment wrapText="1"/>
    </xf>
    <xf numFmtId="0" fontId="3" fillId="9" borderId="0" xfId="0" applyFont="1" applyFill="1" applyBorder="1" applyAlignment="1" applyProtection="1">
      <alignment horizontal="right"/>
    </xf>
    <xf numFmtId="0" fontId="3" fillId="9" borderId="0" xfId="0" applyFont="1" applyFill="1" applyBorder="1" applyAlignment="1" applyProtection="1"/>
    <xf numFmtId="0" fontId="3" fillId="9" borderId="0" xfId="0" applyNumberFormat="1" applyFont="1" applyFill="1" applyBorder="1" applyAlignment="1" applyProtection="1">
      <alignment horizontal="left"/>
    </xf>
    <xf numFmtId="0" fontId="3" fillId="9" borderId="0" xfId="0" applyFont="1" applyFill="1" applyBorder="1" applyAlignment="1" applyProtection="1">
      <alignment horizontal="left" wrapText="1"/>
    </xf>
    <xf numFmtId="0" fontId="6" fillId="9" borderId="0" xfId="0" applyNumberFormat="1" applyFont="1" applyFill="1" applyBorder="1" applyAlignment="1">
      <alignment vertical="top" wrapText="1"/>
    </xf>
    <xf numFmtId="0" fontId="4" fillId="9" borderId="0" xfId="0" applyFont="1" applyFill="1" applyAlignment="1">
      <alignment vertical="top"/>
    </xf>
    <xf numFmtId="0" fontId="3" fillId="9" borderId="0" xfId="0" applyFont="1" applyFill="1" applyAlignment="1">
      <alignment wrapText="1"/>
    </xf>
    <xf numFmtId="0" fontId="0" fillId="0" borderId="0" xfId="0" applyAlignment="1"/>
    <xf numFmtId="0" fontId="0" fillId="9" borderId="0" xfId="0" applyFill="1" applyAlignment="1">
      <alignment horizontal="left"/>
    </xf>
    <xf numFmtId="0" fontId="25" fillId="9" borderId="0" xfId="0" applyFont="1" applyFill="1" applyBorder="1"/>
    <xf numFmtId="0" fontId="25" fillId="9" borderId="0" xfId="0" applyFont="1" applyFill="1" applyAlignment="1">
      <alignment horizontal="left"/>
    </xf>
    <xf numFmtId="0" fontId="42" fillId="11" borderId="6" xfId="0" applyNumberFormat="1" applyFont="1" applyFill="1" applyBorder="1" applyAlignment="1" applyProtection="1">
      <alignment horizontal="center" wrapText="1"/>
    </xf>
    <xf numFmtId="0" fontId="24" fillId="9" borderId="0" xfId="0" applyNumberFormat="1" applyFont="1" applyFill="1" applyAlignment="1">
      <alignment horizontal="right"/>
    </xf>
    <xf numFmtId="0" fontId="3" fillId="9" borderId="0" xfId="0" applyFont="1" applyFill="1" applyAlignment="1">
      <alignment vertical="top" wrapText="1"/>
    </xf>
    <xf numFmtId="0" fontId="3" fillId="9" borderId="0" xfId="0" applyFont="1" applyFill="1" applyAlignment="1" applyProtection="1">
      <alignment vertical="top"/>
    </xf>
    <xf numFmtId="0" fontId="6" fillId="9" borderId="0" xfId="0" applyFont="1" applyFill="1" applyBorder="1" applyAlignment="1">
      <alignment horizontal="right"/>
    </xf>
    <xf numFmtId="0" fontId="5" fillId="9" borderId="0" xfId="0" applyFont="1" applyFill="1" applyBorder="1" applyAlignment="1">
      <alignment horizontal="left"/>
    </xf>
    <xf numFmtId="0" fontId="6" fillId="9" borderId="12" xfId="0" applyFont="1" applyFill="1" applyBorder="1" applyAlignment="1"/>
    <xf numFmtId="0" fontId="25" fillId="9" borderId="0" xfId="0" applyNumberFormat="1" applyFont="1" applyFill="1" applyAlignment="1"/>
    <xf numFmtId="0" fontId="25" fillId="9" borderId="0" xfId="0" applyNumberFormat="1" applyFont="1" applyFill="1" applyAlignment="1">
      <alignment horizontal="left"/>
    </xf>
    <xf numFmtId="0" fontId="7" fillId="10" borderId="13" xfId="0" applyFont="1" applyFill="1" applyBorder="1" applyAlignment="1">
      <alignment horizontal="left" vertical="center" wrapText="1"/>
    </xf>
    <xf numFmtId="0" fontId="4" fillId="10" borderId="5" xfId="0" applyFont="1" applyFill="1" applyBorder="1" applyAlignment="1">
      <alignment wrapText="1"/>
    </xf>
    <xf numFmtId="0" fontId="25" fillId="9" borderId="14" xfId="0" applyNumberFormat="1" applyFont="1" applyFill="1" applyBorder="1" applyAlignment="1">
      <alignment horizontal="left"/>
    </xf>
    <xf numFmtId="0" fontId="46" fillId="9" borderId="0" xfId="0" applyFont="1" applyFill="1" applyAlignment="1">
      <alignment horizontal="right"/>
    </xf>
    <xf numFmtId="0" fontId="0" fillId="9" borderId="0" xfId="0" applyFill="1" applyBorder="1" applyAlignment="1"/>
    <xf numFmtId="0" fontId="3" fillId="9" borderId="10" xfId="0" applyFont="1" applyFill="1" applyBorder="1" applyAlignment="1">
      <alignment wrapText="1"/>
    </xf>
    <xf numFmtId="0" fontId="3" fillId="9" borderId="5" xfId="0" applyFont="1" applyFill="1" applyBorder="1" applyAlignment="1">
      <alignment wrapText="1"/>
    </xf>
    <xf numFmtId="0" fontId="25" fillId="9" borderId="0" xfId="0" applyNumberFormat="1" applyFont="1" applyFill="1" applyAlignment="1">
      <alignment horizontal="right"/>
    </xf>
    <xf numFmtId="0" fontId="4" fillId="12" borderId="15" xfId="0" applyNumberFormat="1" applyFont="1" applyFill="1" applyBorder="1" applyAlignment="1" applyProtection="1">
      <alignment horizontal="center"/>
      <protection locked="0"/>
    </xf>
    <xf numFmtId="0" fontId="4" fillId="12" borderId="16" xfId="0" applyFont="1" applyFill="1" applyBorder="1" applyAlignment="1" applyProtection="1">
      <alignment horizontal="center" vertical="center"/>
      <protection locked="0"/>
    </xf>
    <xf numFmtId="0" fontId="4" fillId="12" borderId="16" xfId="0" applyNumberFormat="1" applyFont="1" applyFill="1" applyBorder="1" applyAlignment="1" applyProtection="1">
      <alignment horizontal="center" vertical="center"/>
      <protection locked="0"/>
    </xf>
    <xf numFmtId="0" fontId="4" fillId="12" borderId="15" xfId="0" applyFont="1" applyFill="1" applyBorder="1" applyAlignment="1" applyProtection="1">
      <alignment horizontal="center"/>
      <protection locked="0"/>
    </xf>
    <xf numFmtId="0" fontId="31" fillId="9" borderId="0" xfId="0" applyNumberFormat="1" applyFont="1" applyFill="1"/>
    <xf numFmtId="0" fontId="7" fillId="9" borderId="0" xfId="0" applyNumberFormat="1" applyFont="1" applyFill="1" applyAlignment="1"/>
    <xf numFmtId="49" fontId="7" fillId="9" borderId="0" xfId="0" applyNumberFormat="1" applyFont="1" applyFill="1" applyAlignment="1">
      <alignment horizontal="right"/>
    </xf>
    <xf numFmtId="49" fontId="7" fillId="9" borderId="0" xfId="0" applyNumberFormat="1" applyFont="1" applyFill="1" applyAlignment="1"/>
    <xf numFmtId="0" fontId="7" fillId="9" borderId="10" xfId="0" applyFont="1" applyFill="1" applyBorder="1" applyAlignment="1">
      <alignment horizontal="left"/>
    </xf>
    <xf numFmtId="0" fontId="6" fillId="9" borderId="6" xfId="0" applyFont="1" applyFill="1" applyBorder="1" applyAlignment="1">
      <alignment horizontal="right"/>
    </xf>
    <xf numFmtId="0" fontId="31" fillId="9" borderId="0" xfId="0" applyNumberFormat="1" applyFont="1" applyFill="1" applyAlignment="1">
      <alignment horizontal="right"/>
    </xf>
    <xf numFmtId="0" fontId="48" fillId="9" borderId="0" xfId="0" applyFont="1" applyFill="1" applyAlignment="1" applyProtection="1">
      <alignment horizontal="right" vertical="top"/>
    </xf>
    <xf numFmtId="0" fontId="25" fillId="9" borderId="0" xfId="0" applyFont="1" applyFill="1" applyBorder="1" applyAlignment="1" applyProtection="1">
      <alignment horizontal="right"/>
    </xf>
    <xf numFmtId="49" fontId="50" fillId="9" borderId="0" xfId="0" applyNumberFormat="1" applyFont="1" applyFill="1" applyAlignment="1">
      <alignment horizontal="right"/>
    </xf>
    <xf numFmtId="0" fontId="50" fillId="9" borderId="0" xfId="0" applyNumberFormat="1" applyFont="1" applyFill="1" applyAlignment="1">
      <alignment horizontal="right"/>
    </xf>
    <xf numFmtId="0" fontId="50" fillId="9" borderId="0" xfId="0" applyNumberFormat="1" applyFont="1" applyFill="1" applyAlignment="1"/>
    <xf numFmtId="0" fontId="5" fillId="9" borderId="0" xfId="0" applyFont="1" applyFill="1" applyAlignment="1">
      <alignment horizontal="right" vertical="top"/>
    </xf>
    <xf numFmtId="0" fontId="9" fillId="9" borderId="0" xfId="0" applyFont="1" applyFill="1" applyBorder="1" applyAlignment="1"/>
    <xf numFmtId="0" fontId="4" fillId="9" borderId="0" xfId="0" applyFont="1" applyFill="1" applyBorder="1" applyAlignment="1">
      <alignment horizontal="right" vertical="top"/>
    </xf>
    <xf numFmtId="0" fontId="3" fillId="9" borderId="0" xfId="0" applyFont="1" applyFill="1" applyBorder="1" applyAlignment="1">
      <alignment horizontal="left" vertical="top"/>
    </xf>
    <xf numFmtId="0" fontId="6" fillId="9" borderId="0" xfId="0" applyFont="1" applyFill="1" applyAlignment="1">
      <alignment vertical="center"/>
    </xf>
    <xf numFmtId="0" fontId="0" fillId="9" borderId="0" xfId="0" applyNumberFormat="1" applyFill="1" applyAlignment="1">
      <alignment vertical="top"/>
    </xf>
    <xf numFmtId="0" fontId="5" fillId="10" borderId="17" xfId="0" applyNumberFormat="1" applyFont="1" applyFill="1" applyBorder="1" applyAlignment="1">
      <alignment vertical="top"/>
    </xf>
    <xf numFmtId="0" fontId="5" fillId="10" borderId="18" xfId="0" applyNumberFormat="1" applyFont="1" applyFill="1" applyBorder="1" applyAlignment="1">
      <alignment wrapText="1"/>
    </xf>
    <xf numFmtId="0" fontId="5" fillId="10" borderId="18" xfId="0" applyNumberFormat="1" applyFont="1" applyFill="1" applyBorder="1" applyAlignment="1"/>
    <xf numFmtId="0" fontId="5" fillId="10" borderId="13" xfId="0" applyNumberFormat="1" applyFont="1" applyFill="1" applyBorder="1" applyAlignment="1">
      <alignment horizontal="right"/>
    </xf>
    <xf numFmtId="0" fontId="3" fillId="9" borderId="0" xfId="0" applyFont="1" applyFill="1" applyAlignment="1">
      <alignment vertical="center"/>
    </xf>
    <xf numFmtId="0" fontId="25" fillId="9" borderId="0" xfId="0" applyNumberFormat="1" applyFont="1" applyFill="1" applyBorder="1" applyAlignment="1">
      <alignment horizontal="right"/>
    </xf>
    <xf numFmtId="0" fontId="25" fillId="9" borderId="0" xfId="0" applyNumberFormat="1" applyFont="1" applyFill="1" applyBorder="1" applyAlignment="1">
      <alignment wrapText="1"/>
    </xf>
    <xf numFmtId="0" fontId="26" fillId="9" borderId="0" xfId="0" applyNumberFormat="1" applyFont="1" applyFill="1" applyBorder="1" applyAlignment="1"/>
    <xf numFmtId="1" fontId="25" fillId="9" borderId="19" xfId="0" applyNumberFormat="1" applyFont="1" applyFill="1" applyBorder="1" applyAlignment="1">
      <alignment horizontal="right"/>
    </xf>
    <xf numFmtId="0" fontId="4" fillId="9" borderId="0" xfId="0" applyFont="1" applyFill="1" applyBorder="1" applyAlignment="1" applyProtection="1">
      <alignment wrapText="1"/>
    </xf>
    <xf numFmtId="0" fontId="23" fillId="9" borderId="0" xfId="0" applyNumberFormat="1" applyFont="1" applyFill="1" applyBorder="1" applyAlignment="1">
      <alignment horizontal="center" vertical="center"/>
    </xf>
    <xf numFmtId="0" fontId="25" fillId="9" borderId="0" xfId="0" applyFont="1" applyFill="1" applyBorder="1" applyAlignment="1"/>
    <xf numFmtId="0" fontId="26" fillId="9" borderId="0" xfId="0" applyFont="1" applyFill="1" applyBorder="1" applyAlignment="1" applyProtection="1">
      <alignment horizontal="left"/>
    </xf>
    <xf numFmtId="0" fontId="26" fillId="9" borderId="0" xfId="0" applyNumberFormat="1" applyFont="1" applyFill="1"/>
    <xf numFmtId="0" fontId="27" fillId="9" borderId="20" xfId="0" applyFont="1" applyFill="1" applyBorder="1"/>
    <xf numFmtId="0" fontId="3" fillId="9" borderId="0" xfId="0" applyNumberFormat="1" applyFont="1" applyFill="1" applyAlignment="1">
      <alignment horizontal="right"/>
    </xf>
    <xf numFmtId="0" fontId="4" fillId="9" borderId="21" xfId="0" applyFont="1" applyFill="1" applyBorder="1" applyAlignment="1">
      <alignment horizontal="left"/>
    </xf>
    <xf numFmtId="0" fontId="6" fillId="9" borderId="0" xfId="0" applyFont="1" applyFill="1" applyBorder="1" applyAlignment="1">
      <alignment horizontal="left"/>
    </xf>
    <xf numFmtId="0" fontId="4" fillId="0" borderId="0" xfId="0" applyFont="1" applyAlignment="1"/>
    <xf numFmtId="0" fontId="4" fillId="0" borderId="0" xfId="0" applyNumberFormat="1" applyFont="1" applyAlignment="1"/>
    <xf numFmtId="0" fontId="4" fillId="9" borderId="0" xfId="0" applyFont="1" applyFill="1" applyBorder="1" applyAlignment="1">
      <alignment vertical="center"/>
    </xf>
    <xf numFmtId="0" fontId="27" fillId="9" borderId="0" xfId="0" applyFont="1" applyFill="1"/>
    <xf numFmtId="0" fontId="3" fillId="9" borderId="5" xfId="0" applyFont="1" applyFill="1" applyBorder="1" applyAlignment="1">
      <alignment vertical="center"/>
    </xf>
    <xf numFmtId="0" fontId="3" fillId="9" borderId="6" xfId="0" applyFont="1" applyFill="1" applyBorder="1" applyAlignment="1">
      <alignment vertical="center"/>
    </xf>
    <xf numFmtId="0" fontId="32" fillId="9" borderId="0" xfId="0" applyFont="1" applyFill="1" applyAlignment="1">
      <alignment horizontal="right" vertical="top"/>
    </xf>
    <xf numFmtId="0" fontId="23" fillId="9" borderId="0" xfId="0" applyFont="1" applyFill="1" applyAlignment="1">
      <alignment horizontal="left"/>
    </xf>
    <xf numFmtId="0" fontId="27" fillId="9" borderId="0" xfId="0" applyFont="1" applyFill="1" applyAlignment="1">
      <alignment horizontal="right"/>
    </xf>
    <xf numFmtId="0" fontId="13" fillId="9" borderId="0" xfId="0" applyFont="1" applyFill="1"/>
    <xf numFmtId="0" fontId="5" fillId="9" borderId="0" xfId="0" applyFont="1" applyFill="1" applyBorder="1" applyAlignment="1"/>
    <xf numFmtId="167" fontId="32" fillId="9" borderId="0" xfId="0" applyNumberFormat="1" applyFont="1" applyFill="1" applyBorder="1" applyAlignment="1">
      <alignment horizontal="center" vertical="center" wrapText="1"/>
    </xf>
    <xf numFmtId="49" fontId="4" fillId="9" borderId="5" xfId="0" applyNumberFormat="1" applyFont="1" applyFill="1" applyBorder="1" applyAlignment="1"/>
    <xf numFmtId="0" fontId="3" fillId="9" borderId="21" xfId="0" applyFont="1" applyFill="1" applyBorder="1" applyAlignment="1"/>
    <xf numFmtId="0" fontId="23" fillId="9" borderId="0" xfId="0" applyNumberFormat="1" applyFont="1" applyFill="1" applyBorder="1" applyAlignment="1" applyProtection="1">
      <alignment horizontal="center"/>
    </xf>
    <xf numFmtId="0" fontId="27" fillId="9" borderId="0" xfId="0" applyFont="1" applyFill="1" applyAlignment="1" applyProtection="1">
      <alignment horizontal="right"/>
    </xf>
    <xf numFmtId="1" fontId="51" fillId="9" borderId="0" xfId="0" applyNumberFormat="1" applyFont="1" applyFill="1"/>
    <xf numFmtId="0" fontId="25" fillId="9" borderId="0" xfId="0" applyFont="1" applyFill="1" applyAlignment="1" applyProtection="1">
      <alignment horizontal="right" vertical="top"/>
    </xf>
    <xf numFmtId="0" fontId="25" fillId="9" borderId="0" xfId="0" applyFont="1" applyFill="1" applyBorder="1" applyAlignment="1" applyProtection="1">
      <alignment horizontal="right" vertical="top" wrapText="1"/>
    </xf>
    <xf numFmtId="0" fontId="36" fillId="9" borderId="0" xfId="0" applyNumberFormat="1" applyFont="1" applyFill="1" applyAlignment="1">
      <alignment horizontal="right"/>
    </xf>
    <xf numFmtId="0" fontId="37" fillId="9" borderId="0" xfId="0" applyFont="1" applyFill="1" applyBorder="1" applyAlignment="1" applyProtection="1">
      <alignment horizontal="right" vertical="top" wrapText="1"/>
    </xf>
    <xf numFmtId="0" fontId="37" fillId="9" borderId="0" xfId="0" applyNumberFormat="1" applyFont="1" applyFill="1"/>
    <xf numFmtId="0" fontId="37" fillId="9" borderId="0" xfId="0" applyFont="1" applyFill="1" applyAlignment="1" applyProtection="1">
      <alignment horizontal="right" vertical="top"/>
    </xf>
    <xf numFmtId="0" fontId="42" fillId="9" borderId="0" xfId="0" applyFont="1" applyFill="1" applyBorder="1" applyAlignment="1">
      <alignment horizontal="right"/>
    </xf>
    <xf numFmtId="0" fontId="43" fillId="9" borderId="0" xfId="0" applyFont="1" applyFill="1" applyAlignment="1" applyProtection="1">
      <alignment horizontal="right" vertical="top"/>
    </xf>
    <xf numFmtId="0" fontId="44" fillId="9" borderId="0" xfId="0" applyFont="1" applyFill="1" applyBorder="1" applyAlignment="1">
      <alignment horizontal="center" vertical="center" textRotation="90" wrapText="1"/>
    </xf>
    <xf numFmtId="0" fontId="44" fillId="9" borderId="0" xfId="0" applyFont="1" applyFill="1" applyBorder="1" applyAlignment="1">
      <alignment vertical="center" wrapText="1"/>
    </xf>
    <xf numFmtId="0" fontId="48" fillId="9" borderId="0" xfId="0" applyFont="1" applyFill="1" applyBorder="1" applyAlignment="1" applyProtection="1">
      <alignment horizontal="right" vertical="top"/>
    </xf>
    <xf numFmtId="1" fontId="48" fillId="9" borderId="0" xfId="0" applyNumberFormat="1" applyFont="1" applyFill="1"/>
    <xf numFmtId="0" fontId="48" fillId="9" borderId="0" xfId="0" applyNumberFormat="1" applyFont="1" applyFill="1"/>
    <xf numFmtId="0" fontId="25" fillId="9" borderId="0" xfId="0" applyFont="1" applyFill="1" applyBorder="1" applyAlignment="1" applyProtection="1">
      <alignment horizontal="left" wrapText="1"/>
    </xf>
    <xf numFmtId="0" fontId="25" fillId="9" borderId="0" xfId="0" applyFont="1" applyFill="1" applyProtection="1"/>
    <xf numFmtId="0" fontId="52" fillId="9" borderId="0" xfId="0" applyFont="1" applyFill="1" applyBorder="1" applyAlignment="1" applyProtection="1">
      <alignment vertical="top"/>
    </xf>
    <xf numFmtId="0" fontId="25" fillId="9" borderId="0" xfId="0" applyFont="1" applyFill="1" applyAlignment="1" applyProtection="1">
      <alignment horizontal="right" vertical="top" wrapText="1"/>
    </xf>
    <xf numFmtId="0" fontId="25" fillId="9" borderId="0" xfId="0" applyNumberFormat="1" applyFont="1" applyFill="1" applyAlignment="1" applyProtection="1">
      <alignment horizontal="right" vertical="top" wrapText="1"/>
    </xf>
    <xf numFmtId="0" fontId="53" fillId="9" borderId="0" xfId="0" applyFont="1" applyFill="1" applyBorder="1" applyAlignment="1" applyProtection="1">
      <alignment horizontal="right" vertical="top" wrapText="1"/>
    </xf>
    <xf numFmtId="10" fontId="36" fillId="9" borderId="0" xfId="0" applyNumberFormat="1" applyFont="1" applyFill="1" applyBorder="1" applyAlignment="1" applyProtection="1">
      <alignment horizontal="right" vertical="top" wrapText="1"/>
    </xf>
    <xf numFmtId="0" fontId="36" fillId="9" borderId="0" xfId="0" applyFont="1" applyFill="1" applyBorder="1" applyAlignment="1" applyProtection="1">
      <alignment horizontal="right" vertical="top" wrapText="1"/>
    </xf>
    <xf numFmtId="0" fontId="43" fillId="9" borderId="0" xfId="0" applyFont="1" applyFill="1"/>
    <xf numFmtId="0" fontId="40" fillId="9" borderId="0" xfId="0" applyFont="1" applyFill="1" applyBorder="1" applyAlignment="1" applyProtection="1">
      <alignment horizontal="right" vertical="top" wrapText="1"/>
    </xf>
    <xf numFmtId="0" fontId="40" fillId="9" borderId="0" xfId="0" applyFont="1" applyFill="1" applyAlignment="1" applyProtection="1">
      <alignment horizontal="right" vertical="top"/>
    </xf>
    <xf numFmtId="0" fontId="41" fillId="9" borderId="0" xfId="0" applyFont="1" applyFill="1" applyBorder="1"/>
    <xf numFmtId="0" fontId="3" fillId="9" borderId="10" xfId="0" applyFont="1" applyFill="1" applyBorder="1" applyAlignment="1">
      <alignment vertical="center"/>
    </xf>
    <xf numFmtId="49" fontId="26" fillId="9" borderId="0" xfId="0" applyNumberFormat="1" applyFont="1" applyFill="1"/>
    <xf numFmtId="0" fontId="3" fillId="9" borderId="0" xfId="0" applyFont="1" applyFill="1" applyBorder="1" applyAlignment="1">
      <alignment horizontal="right" vertical="center"/>
    </xf>
    <xf numFmtId="0" fontId="3" fillId="9" borderId="0" xfId="0" applyFont="1" applyFill="1" applyAlignment="1">
      <alignment vertical="top"/>
    </xf>
    <xf numFmtId="0" fontId="25" fillId="9" borderId="3" xfId="0" applyNumberFormat="1" applyFont="1" applyFill="1" applyBorder="1" applyAlignment="1"/>
    <xf numFmtId="0" fontId="55" fillId="9" borderId="0" xfId="0" applyFont="1" applyFill="1"/>
    <xf numFmtId="0" fontId="25" fillId="9" borderId="0" xfId="0" applyFont="1" applyFill="1" applyAlignment="1" applyProtection="1">
      <alignment horizontal="left" vertical="top"/>
    </xf>
    <xf numFmtId="0" fontId="45" fillId="9" borderId="0" xfId="0" applyNumberFormat="1" applyFont="1" applyFill="1"/>
    <xf numFmtId="0" fontId="45" fillId="9" borderId="0" xfId="0" applyFont="1" applyFill="1" applyAlignment="1" applyProtection="1">
      <alignment horizontal="right" vertical="top"/>
    </xf>
    <xf numFmtId="0" fontId="15" fillId="9" borderId="0" xfId="0" applyNumberFormat="1" applyFont="1" applyFill="1" applyProtection="1"/>
    <xf numFmtId="0" fontId="45" fillId="9" borderId="0" xfId="0" applyFont="1" applyFill="1" applyBorder="1" applyAlignment="1" applyProtection="1">
      <alignment horizontal="right" vertical="top" wrapText="1"/>
    </xf>
    <xf numFmtId="0" fontId="25" fillId="9" borderId="0" xfId="0" applyFont="1" applyFill="1" applyBorder="1" applyAlignment="1" applyProtection="1">
      <alignment vertical="top"/>
    </xf>
    <xf numFmtId="0" fontId="4" fillId="9" borderId="0" xfId="0" applyFont="1" applyFill="1" applyAlignment="1">
      <alignment horizontal="right"/>
    </xf>
    <xf numFmtId="0" fontId="56" fillId="9" borderId="0" xfId="0" applyFont="1" applyFill="1" applyAlignment="1">
      <alignment horizontal="left"/>
    </xf>
    <xf numFmtId="0" fontId="23" fillId="9" borderId="0" xfId="0" applyNumberFormat="1" applyFont="1" applyFill="1"/>
    <xf numFmtId="0" fontId="27" fillId="9" borderId="0" xfId="0" applyFont="1" applyFill="1" applyAlignment="1">
      <alignment vertical="center" wrapText="1"/>
    </xf>
    <xf numFmtId="0" fontId="57" fillId="9" borderId="0" xfId="0" applyFont="1" applyFill="1" applyBorder="1" applyAlignment="1">
      <alignment vertical="top"/>
    </xf>
    <xf numFmtId="49" fontId="3" fillId="9" borderId="5" xfId="0" applyNumberFormat="1" applyFont="1" applyFill="1" applyBorder="1" applyAlignment="1"/>
    <xf numFmtId="0" fontId="61" fillId="9" borderId="0" xfId="0" applyFont="1" applyFill="1"/>
    <xf numFmtId="0" fontId="63" fillId="9" borderId="0" xfId="0" applyFont="1" applyFill="1" applyBorder="1" applyAlignment="1">
      <alignment horizontal="right"/>
    </xf>
    <xf numFmtId="0" fontId="62" fillId="9" borderId="0" xfId="0" applyFont="1" applyFill="1" applyProtection="1"/>
    <xf numFmtId="0" fontId="4" fillId="9" borderId="0" xfId="0" applyFont="1" applyFill="1" applyAlignment="1" applyProtection="1">
      <alignment vertical="center"/>
    </xf>
    <xf numFmtId="0" fontId="61" fillId="9" borderId="0" xfId="0" applyFont="1" applyFill="1" applyAlignment="1" applyProtection="1">
      <alignment horizontal="right" vertical="top"/>
    </xf>
    <xf numFmtId="0" fontId="5" fillId="9" borderId="0" xfId="0" applyFont="1" applyFill="1" applyBorder="1" applyAlignment="1">
      <alignment horizontal="right"/>
    </xf>
    <xf numFmtId="0" fontId="4" fillId="9" borderId="0" xfId="0" applyFont="1" applyFill="1" applyBorder="1" applyAlignment="1">
      <alignment horizontal="center"/>
    </xf>
    <xf numFmtId="0" fontId="26" fillId="9" borderId="0" xfId="0" applyFont="1" applyFill="1" applyBorder="1" applyAlignment="1"/>
    <xf numFmtId="0" fontId="64" fillId="9" borderId="0" xfId="0" applyFont="1" applyFill="1" applyBorder="1" applyAlignment="1" applyProtection="1">
      <alignment horizontal="center" vertical="center" wrapText="1"/>
    </xf>
    <xf numFmtId="0" fontId="4" fillId="9" borderId="1" xfId="0" applyFont="1" applyFill="1" applyBorder="1" applyAlignment="1">
      <alignment horizontal="left"/>
    </xf>
    <xf numFmtId="0" fontId="42" fillId="9" borderId="0" xfId="0" applyFont="1" applyFill="1" applyAlignment="1"/>
    <xf numFmtId="0" fontId="4" fillId="10" borderId="22"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3" fillId="9" borderId="23" xfId="0" applyFont="1" applyFill="1" applyBorder="1" applyAlignment="1">
      <alignment vertical="center"/>
    </xf>
    <xf numFmtId="0" fontId="3" fillId="9" borderId="11" xfId="0" applyFont="1" applyFill="1" applyBorder="1" applyAlignment="1">
      <alignment vertical="center"/>
    </xf>
    <xf numFmtId="0" fontId="7" fillId="9" borderId="1" xfId="0" applyFont="1" applyFill="1" applyBorder="1" applyAlignment="1" applyProtection="1">
      <alignment horizontal="center" vertical="center"/>
      <protection locked="0"/>
    </xf>
    <xf numFmtId="0" fontId="7" fillId="9" borderId="12" xfId="0" applyFont="1" applyFill="1" applyBorder="1" applyAlignment="1" applyProtection="1">
      <alignment horizontal="center" vertical="center"/>
      <protection locked="0"/>
    </xf>
    <xf numFmtId="0" fontId="3" fillId="9" borderId="24" xfId="0" applyFont="1" applyFill="1" applyBorder="1" applyAlignment="1">
      <alignment horizontal="center" vertical="center" wrapText="1"/>
    </xf>
    <xf numFmtId="0" fontId="3" fillId="9" borderId="25" xfId="0" applyFont="1" applyFill="1" applyBorder="1" applyAlignment="1">
      <alignment horizontal="left" vertical="center" wrapText="1"/>
    </xf>
    <xf numFmtId="0" fontId="0" fillId="9" borderId="10" xfId="0" applyNumberFormat="1" applyFill="1" applyBorder="1" applyAlignment="1">
      <alignment horizontal="left" vertical="center"/>
    </xf>
    <xf numFmtId="0" fontId="0" fillId="9" borderId="5" xfId="0" applyNumberFormat="1" applyFill="1" applyBorder="1" applyAlignment="1">
      <alignment horizontal="left" vertical="center"/>
    </xf>
    <xf numFmtId="0" fontId="0" fillId="9" borderId="6" xfId="0" applyNumberFormat="1" applyFill="1" applyBorder="1" applyAlignment="1">
      <alignment horizontal="left" vertical="center"/>
    </xf>
    <xf numFmtId="0" fontId="3" fillId="9" borderId="26" xfId="0" applyFont="1" applyFill="1" applyBorder="1" applyAlignment="1">
      <alignment horizontal="left" vertical="center"/>
    </xf>
    <xf numFmtId="0" fontId="3" fillId="9" borderId="27" xfId="0" applyFont="1" applyFill="1" applyBorder="1" applyAlignment="1">
      <alignment horizontal="left" vertical="center"/>
    </xf>
    <xf numFmtId="0" fontId="3" fillId="9" borderId="2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1"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4"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0" xfId="0" applyFont="1" applyFill="1" applyBorder="1" applyAlignment="1">
      <alignment horizontal="center" vertical="center"/>
    </xf>
    <xf numFmtId="0" fontId="3" fillId="9" borderId="31" xfId="0" applyFont="1" applyFill="1" applyBorder="1" applyAlignment="1">
      <alignment vertical="center"/>
    </xf>
    <xf numFmtId="0" fontId="3" fillId="9" borderId="32" xfId="0" applyFont="1" applyFill="1" applyBorder="1" applyAlignment="1">
      <alignment vertical="center"/>
    </xf>
    <xf numFmtId="0" fontId="3" fillId="9" borderId="31" xfId="0" applyFont="1" applyFill="1" applyBorder="1" applyAlignment="1">
      <alignment horizontal="right" vertical="center"/>
    </xf>
    <xf numFmtId="0" fontId="0" fillId="9" borderId="18" xfId="0" applyFill="1" applyBorder="1" applyAlignment="1">
      <alignment wrapText="1"/>
    </xf>
    <xf numFmtId="0" fontId="4" fillId="9" borderId="0" xfId="0" applyNumberFormat="1" applyFont="1" applyFill="1" applyBorder="1" applyAlignment="1"/>
    <xf numFmtId="0" fontId="1" fillId="9" borderId="0" xfId="35" applyNumberFormat="1" applyFill="1" applyAlignment="1">
      <alignment horizontal="left" vertical="top"/>
    </xf>
    <xf numFmtId="0" fontId="3" fillId="9" borderId="12" xfId="0" applyFont="1" applyFill="1" applyBorder="1" applyAlignment="1"/>
    <xf numFmtId="0" fontId="48" fillId="9" borderId="0" xfId="0" applyFont="1" applyFill="1" applyAlignment="1" applyProtection="1">
      <alignment horizontal="left" vertical="top"/>
    </xf>
    <xf numFmtId="0" fontId="3" fillId="9" borderId="33" xfId="0" applyFont="1" applyFill="1" applyBorder="1" applyAlignment="1"/>
    <xf numFmtId="0" fontId="3" fillId="9" borderId="34" xfId="0" applyFont="1" applyFill="1" applyBorder="1" applyAlignment="1"/>
    <xf numFmtId="0" fontId="4" fillId="9" borderId="12" xfId="0" applyFont="1" applyFill="1" applyBorder="1" applyAlignment="1"/>
    <xf numFmtId="0" fontId="6" fillId="9" borderId="0" xfId="0" applyNumberFormat="1" applyFont="1" applyFill="1" applyBorder="1" applyAlignment="1"/>
    <xf numFmtId="0" fontId="3" fillId="9" borderId="3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43" fillId="9" borderId="0" xfId="0" applyFont="1" applyFill="1" applyAlignment="1" applyProtection="1">
      <alignment horizontal="left" vertical="top"/>
    </xf>
    <xf numFmtId="0" fontId="9" fillId="9" borderId="2" xfId="0" applyFont="1" applyFill="1" applyBorder="1" applyAlignment="1" applyProtection="1">
      <alignment vertical="top" wrapText="1"/>
    </xf>
    <xf numFmtId="0" fontId="7" fillId="9" borderId="0" xfId="0" applyFont="1" applyFill="1"/>
    <xf numFmtId="0" fontId="25" fillId="9" borderId="0" xfId="0" applyFont="1" applyFill="1" applyBorder="1" applyAlignment="1">
      <alignment horizontal="right"/>
    </xf>
    <xf numFmtId="0" fontId="3" fillId="9" borderId="0" xfId="0" applyFont="1" applyFill="1" applyAlignment="1">
      <alignment horizontal="right"/>
    </xf>
    <xf numFmtId="0" fontId="0" fillId="9" borderId="18" xfId="0" applyNumberFormat="1" applyFill="1" applyBorder="1" applyAlignment="1">
      <alignment horizontal="left"/>
    </xf>
    <xf numFmtId="0" fontId="4" fillId="9" borderId="18" xfId="0" applyFont="1" applyFill="1" applyBorder="1" applyAlignment="1">
      <alignment horizontal="left"/>
    </xf>
    <xf numFmtId="0" fontId="3" fillId="9" borderId="0" xfId="0" applyNumberFormat="1" applyFont="1" applyFill="1" applyAlignment="1"/>
    <xf numFmtId="0" fontId="4" fillId="9" borderId="0" xfId="0" applyNumberFormat="1" applyFont="1" applyFill="1" applyAlignment="1">
      <alignment vertical="center"/>
    </xf>
    <xf numFmtId="0" fontId="24" fillId="9" borderId="0" xfId="0" applyNumberFormat="1" applyFont="1" applyFill="1" applyBorder="1"/>
    <xf numFmtId="0" fontId="23" fillId="9" borderId="0" xfId="0" applyNumberFormat="1" applyFont="1" applyFill="1" applyAlignment="1"/>
    <xf numFmtId="0" fontId="3" fillId="9" borderId="3" xfId="0" applyNumberFormat="1" applyFont="1" applyFill="1" applyBorder="1" applyAlignment="1" applyProtection="1">
      <alignment vertical="top" wrapText="1"/>
    </xf>
    <xf numFmtId="0" fontId="69" fillId="13" borderId="20" xfId="0" applyFont="1" applyFill="1" applyBorder="1" applyAlignment="1">
      <alignment horizontal="left" wrapText="1"/>
    </xf>
    <xf numFmtId="1" fontId="69" fillId="13" borderId="37" xfId="0" applyNumberFormat="1" applyFont="1" applyFill="1" applyBorder="1" applyAlignment="1">
      <alignment horizontal="left"/>
    </xf>
    <xf numFmtId="1" fontId="69" fillId="13" borderId="20" xfId="0" applyNumberFormat="1" applyFont="1" applyFill="1" applyBorder="1" applyAlignment="1">
      <alignment horizontal="left"/>
    </xf>
    <xf numFmtId="1" fontId="69" fillId="13" borderId="38" xfId="0" applyNumberFormat="1" applyFont="1" applyFill="1" applyBorder="1" applyAlignment="1">
      <alignment horizontal="left"/>
    </xf>
    <xf numFmtId="0" fontId="70" fillId="9" borderId="0" xfId="0" applyFont="1" applyFill="1" applyBorder="1" applyAlignment="1">
      <alignment horizontal="right"/>
    </xf>
    <xf numFmtId="0" fontId="70" fillId="9" borderId="0" xfId="0" applyFont="1" applyFill="1" applyAlignment="1">
      <alignment horizontal="right"/>
    </xf>
    <xf numFmtId="0" fontId="70" fillId="9" borderId="0" xfId="0" applyFont="1" applyFill="1" applyAlignment="1" applyProtection="1">
      <alignment horizontal="right"/>
    </xf>
    <xf numFmtId="0" fontId="70" fillId="9" borderId="0" xfId="0" applyNumberFormat="1" applyFont="1" applyFill="1" applyAlignment="1">
      <alignment horizontal="right"/>
    </xf>
    <xf numFmtId="1" fontId="70" fillId="9" borderId="0" xfId="0" applyNumberFormat="1" applyFont="1" applyFill="1"/>
    <xf numFmtId="0" fontId="70" fillId="9" borderId="0" xfId="0" applyNumberFormat="1" applyFont="1" applyFill="1" applyBorder="1" applyAlignment="1">
      <alignment horizontal="right"/>
    </xf>
    <xf numFmtId="0" fontId="70" fillId="9" borderId="0" xfId="0" applyFont="1" applyFill="1" applyBorder="1" applyAlignment="1">
      <alignment horizontal="right" wrapText="1"/>
    </xf>
    <xf numFmtId="0" fontId="70" fillId="9" borderId="0" xfId="0" applyNumberFormat="1" applyFont="1" applyFill="1" applyAlignment="1" applyProtection="1">
      <alignment horizontal="right"/>
    </xf>
    <xf numFmtId="0" fontId="70" fillId="9" borderId="0" xfId="0" applyFont="1" applyFill="1"/>
    <xf numFmtId="0" fontId="71" fillId="9" borderId="0" xfId="0" applyFont="1" applyFill="1"/>
    <xf numFmtId="0" fontId="70" fillId="9" borderId="0" xfId="0" applyNumberFormat="1" applyFont="1" applyFill="1" applyAlignment="1" applyProtection="1">
      <alignment horizontal="right" wrapText="1"/>
    </xf>
    <xf numFmtId="0" fontId="70" fillId="9" borderId="0" xfId="0" applyFont="1" applyFill="1" applyAlignment="1" applyProtection="1">
      <alignment horizontal="right" wrapText="1"/>
    </xf>
    <xf numFmtId="1" fontId="70" fillId="9" borderId="0" xfId="0" applyNumberFormat="1" applyFont="1" applyFill="1" applyBorder="1" applyAlignment="1">
      <alignment horizontal="right"/>
    </xf>
    <xf numFmtId="1" fontId="70" fillId="9" borderId="0" xfId="0" applyNumberFormat="1" applyFont="1" applyFill="1" applyAlignment="1">
      <alignment horizontal="right"/>
    </xf>
    <xf numFmtId="0" fontId="71" fillId="9" borderId="0" xfId="0" applyFont="1" applyFill="1" applyAlignment="1">
      <alignment wrapText="1"/>
    </xf>
    <xf numFmtId="0" fontId="72" fillId="9" borderId="0" xfId="0" applyFont="1" applyFill="1" applyAlignment="1">
      <alignment wrapText="1"/>
    </xf>
    <xf numFmtId="0" fontId="70" fillId="9" borderId="0" xfId="0" applyFont="1" applyFill="1" applyAlignment="1">
      <alignment wrapText="1"/>
    </xf>
    <xf numFmtId="0" fontId="70" fillId="9" borderId="0" xfId="0" applyFont="1" applyFill="1" applyBorder="1" applyAlignment="1">
      <alignment vertical="top" wrapText="1"/>
    </xf>
    <xf numFmtId="0" fontId="70" fillId="9" borderId="37" xfId="0" applyFont="1" applyFill="1" applyBorder="1" applyAlignment="1">
      <alignment horizontal="right" vertical="center" wrapText="1"/>
    </xf>
    <xf numFmtId="0" fontId="70" fillId="9" borderId="37" xfId="0" applyFont="1" applyFill="1" applyBorder="1" applyAlignment="1">
      <alignment horizontal="right"/>
    </xf>
    <xf numFmtId="0" fontId="70" fillId="9" borderId="0" xfId="0" applyFont="1" applyFill="1" applyAlignment="1" applyProtection="1">
      <alignment horizontal="right" vertical="top"/>
    </xf>
    <xf numFmtId="0" fontId="73" fillId="9" borderId="0" xfId="0" applyFont="1" applyFill="1" applyAlignment="1">
      <alignment horizontal="left" wrapText="1"/>
    </xf>
    <xf numFmtId="0" fontId="70" fillId="9" borderId="0" xfId="0" applyNumberFormat="1" applyFont="1" applyFill="1" applyAlignment="1">
      <alignment wrapText="1"/>
    </xf>
    <xf numFmtId="0" fontId="70" fillId="9" borderId="0" xfId="0" applyNumberFormat="1" applyFont="1" applyFill="1" applyBorder="1" applyAlignment="1">
      <alignment horizontal="right" wrapText="1"/>
    </xf>
    <xf numFmtId="0" fontId="70" fillId="9" borderId="37" xfId="0" applyNumberFormat="1" applyFont="1" applyFill="1" applyBorder="1" applyAlignment="1">
      <alignment horizontal="right"/>
    </xf>
    <xf numFmtId="0" fontId="70" fillId="9" borderId="37" xfId="0" applyNumberFormat="1" applyFont="1" applyFill="1" applyBorder="1" applyAlignment="1" applyProtection="1">
      <alignment horizontal="center" wrapText="1"/>
    </xf>
    <xf numFmtId="0" fontId="70" fillId="9" borderId="0" xfId="0" applyNumberFormat="1" applyFont="1" applyFill="1" applyBorder="1" applyAlignment="1" applyProtection="1">
      <alignment horizontal="center" wrapText="1"/>
    </xf>
    <xf numFmtId="0" fontId="72" fillId="9" borderId="0" xfId="0" applyNumberFormat="1" applyFont="1" applyFill="1" applyAlignment="1">
      <alignment horizontal="right" wrapText="1"/>
    </xf>
    <xf numFmtId="1" fontId="70" fillId="9" borderId="0" xfId="0" applyNumberFormat="1" applyFont="1" applyFill="1" applyAlignment="1" applyProtection="1">
      <alignment horizontal="right" vertical="top"/>
    </xf>
    <xf numFmtId="0" fontId="70" fillId="9" borderId="0" xfId="0" applyNumberFormat="1" applyFont="1" applyFill="1" applyAlignment="1" applyProtection="1">
      <alignment horizontal="right" vertical="top"/>
    </xf>
    <xf numFmtId="0" fontId="70" fillId="9" borderId="0" xfId="0" applyNumberFormat="1" applyFont="1" applyFill="1" applyBorder="1" applyAlignment="1"/>
    <xf numFmtId="0" fontId="70" fillId="9" borderId="0" xfId="0" applyFont="1" applyFill="1" applyAlignment="1">
      <alignment horizontal="right" wrapText="1"/>
    </xf>
    <xf numFmtId="0" fontId="47" fillId="14" borderId="3" xfId="0" applyFont="1" applyFill="1" applyBorder="1" applyAlignment="1">
      <alignment horizontal="left"/>
    </xf>
    <xf numFmtId="0" fontId="47" fillId="14" borderId="0" xfId="0" applyFont="1" applyFill="1" applyBorder="1" applyAlignment="1">
      <alignment horizontal="left"/>
    </xf>
    <xf numFmtId="0" fontId="47" fillId="14" borderId="19" xfId="0" applyFont="1" applyFill="1" applyBorder="1" applyAlignment="1">
      <alignment horizontal="left"/>
    </xf>
    <xf numFmtId="0" fontId="47" fillId="14" borderId="21" xfId="0" applyFont="1" applyFill="1" applyBorder="1" applyAlignment="1">
      <alignment horizontal="left"/>
    </xf>
    <xf numFmtId="49" fontId="47" fillId="14" borderId="5" xfId="0" applyNumberFormat="1" applyFont="1" applyFill="1" applyBorder="1" applyAlignment="1"/>
    <xf numFmtId="49" fontId="47" fillId="14" borderId="12" xfId="0" applyNumberFormat="1" applyFont="1" applyFill="1" applyBorder="1" applyAlignment="1"/>
    <xf numFmtId="0" fontId="74" fillId="9" borderId="0" xfId="0" applyFont="1" applyFill="1"/>
    <xf numFmtId="0" fontId="74" fillId="9" borderId="0" xfId="0" applyNumberFormat="1" applyFont="1" applyFill="1"/>
    <xf numFmtId="0" fontId="74" fillId="9" borderId="0" xfId="0" applyFont="1" applyFill="1" applyAlignment="1"/>
    <xf numFmtId="0" fontId="74" fillId="9" borderId="0" xfId="0" applyFont="1" applyFill="1" applyAlignment="1" applyProtection="1">
      <alignment horizontal="right" vertical="top"/>
    </xf>
    <xf numFmtId="0" fontId="71" fillId="9" borderId="0" xfId="0" applyFont="1" applyFill="1" applyProtection="1"/>
    <xf numFmtId="0" fontId="71" fillId="9" borderId="0" xfId="0" applyFont="1" applyFill="1" applyBorder="1"/>
    <xf numFmtId="0" fontId="71" fillId="9" borderId="0" xfId="0" applyNumberFormat="1" applyFont="1" applyFill="1" applyBorder="1"/>
    <xf numFmtId="0" fontId="73" fillId="9" borderId="0" xfId="0" applyFont="1" applyFill="1" applyBorder="1"/>
    <xf numFmtId="0" fontId="3" fillId="9" borderId="0" xfId="0" applyNumberFormat="1" applyFont="1" applyFill="1" applyBorder="1" applyAlignment="1">
      <alignment vertical="center"/>
    </xf>
    <xf numFmtId="0" fontId="4" fillId="9" borderId="0" xfId="0" applyFont="1" applyFill="1" applyAlignment="1">
      <alignment vertical="top" wrapText="1"/>
    </xf>
    <xf numFmtId="0" fontId="50" fillId="9" borderId="0" xfId="0" applyFont="1" applyFill="1" applyAlignment="1">
      <alignment horizontal="right"/>
    </xf>
    <xf numFmtId="0" fontId="50" fillId="9" borderId="39" xfId="0" applyFont="1" applyFill="1" applyBorder="1" applyAlignment="1">
      <alignment horizontal="right"/>
    </xf>
    <xf numFmtId="0" fontId="74" fillId="9" borderId="0" xfId="0" applyFont="1" applyFill="1" applyAlignment="1">
      <alignment wrapText="1"/>
    </xf>
    <xf numFmtId="1" fontId="74" fillId="9" borderId="0" xfId="0" applyNumberFormat="1" applyFont="1" applyFill="1"/>
    <xf numFmtId="0" fontId="74" fillId="9" borderId="0" xfId="0" applyFont="1" applyFill="1" applyBorder="1"/>
    <xf numFmtId="0" fontId="74" fillId="9" borderId="0" xfId="0" applyNumberFormat="1" applyFont="1" applyFill="1" applyBorder="1"/>
    <xf numFmtId="0" fontId="74" fillId="9" borderId="0" xfId="0" applyFont="1" applyFill="1" applyProtection="1"/>
    <xf numFmtId="0" fontId="74" fillId="9" borderId="0" xfId="0" applyFont="1" applyFill="1" applyAlignment="1">
      <alignment vertical="center" wrapText="1"/>
    </xf>
    <xf numFmtId="0" fontId="74" fillId="9" borderId="0" xfId="0" applyFont="1" applyFill="1" applyAlignment="1">
      <alignment horizontal="center" wrapText="1"/>
    </xf>
    <xf numFmtId="0" fontId="74" fillId="9" borderId="0" xfId="0" applyFont="1" applyFill="1" applyBorder="1" applyAlignment="1">
      <alignment vertical="center" wrapText="1"/>
    </xf>
    <xf numFmtId="0" fontId="75" fillId="9" borderId="0" xfId="0" applyFont="1" applyFill="1" applyBorder="1" applyAlignment="1">
      <alignment horizontal="left"/>
    </xf>
    <xf numFmtId="0" fontId="74" fillId="9" borderId="40" xfId="0" applyNumberFormat="1" applyFont="1" applyFill="1" applyBorder="1" applyAlignment="1">
      <alignment wrapText="1"/>
    </xf>
    <xf numFmtId="0" fontId="74" fillId="9" borderId="40" xfId="0" applyFont="1" applyFill="1" applyBorder="1" applyAlignment="1">
      <alignment wrapText="1"/>
    </xf>
    <xf numFmtId="0" fontId="74" fillId="0" borderId="40" xfId="0" quotePrefix="1" applyFont="1" applyBorder="1"/>
    <xf numFmtId="0" fontId="75" fillId="9" borderId="40" xfId="0" applyFont="1" applyFill="1" applyBorder="1" applyAlignment="1">
      <alignment horizontal="left"/>
    </xf>
    <xf numFmtId="0" fontId="74" fillId="9" borderId="0" xfId="0" applyFont="1" applyFill="1" applyBorder="1" applyAlignment="1">
      <alignment horizontal="left"/>
    </xf>
    <xf numFmtId="0" fontId="74" fillId="9" borderId="40" xfId="0" applyFont="1" applyFill="1" applyBorder="1" applyAlignment="1">
      <alignment horizontal="left"/>
    </xf>
    <xf numFmtId="0" fontId="75" fillId="9" borderId="0" xfId="0" applyFont="1" applyFill="1" applyBorder="1" applyAlignment="1">
      <alignment vertical="center" wrapText="1"/>
    </xf>
    <xf numFmtId="0" fontId="75" fillId="9" borderId="0" xfId="0" applyFont="1" applyFill="1" applyBorder="1" applyAlignment="1">
      <alignment horizontal="left" vertical="center" wrapText="1"/>
    </xf>
    <xf numFmtId="0" fontId="74" fillId="9" borderId="40" xfId="0" applyNumberFormat="1" applyFont="1" applyFill="1" applyBorder="1"/>
    <xf numFmtId="0" fontId="74" fillId="9" borderId="40" xfId="0" applyFont="1" applyFill="1" applyBorder="1"/>
    <xf numFmtId="0" fontId="74" fillId="9" borderId="0" xfId="0" applyFont="1" applyFill="1" applyBorder="1" applyAlignment="1" applyProtection="1">
      <alignment wrapText="1"/>
    </xf>
    <xf numFmtId="0" fontId="76" fillId="9" borderId="0" xfId="0" applyNumberFormat="1" applyFont="1" applyFill="1"/>
    <xf numFmtId="0" fontId="68" fillId="11" borderId="6" xfId="0" applyNumberFormat="1" applyFont="1" applyFill="1" applyBorder="1" applyAlignment="1" applyProtection="1">
      <alignment horizontal="center" wrapText="1"/>
    </xf>
    <xf numFmtId="0" fontId="76" fillId="9" borderId="0" xfId="0" applyFont="1" applyFill="1"/>
    <xf numFmtId="0" fontId="77" fillId="9" borderId="0" xfId="0" applyFont="1" applyFill="1"/>
    <xf numFmtId="0" fontId="76" fillId="9" borderId="0" xfId="0" applyFont="1" applyFill="1" applyProtection="1">
      <protection locked="0"/>
    </xf>
    <xf numFmtId="0" fontId="74" fillId="9" borderId="0" xfId="0" applyFont="1" applyFill="1" applyBorder="1" applyAlignment="1"/>
    <xf numFmtId="0" fontId="74" fillId="9" borderId="0" xfId="0" applyFont="1" applyFill="1" applyBorder="1" applyAlignment="1" applyProtection="1">
      <alignment horizontal="right" vertical="top" wrapText="1"/>
    </xf>
    <xf numFmtId="0" fontId="78" fillId="9" borderId="0" xfId="0" applyFont="1" applyFill="1" applyAlignment="1">
      <alignment vertical="top" wrapText="1"/>
    </xf>
    <xf numFmtId="0" fontId="76" fillId="9" borderId="0" xfId="0" applyFont="1" applyFill="1" applyAlignment="1" applyProtection="1">
      <alignment horizontal="left" vertical="top"/>
    </xf>
    <xf numFmtId="0" fontId="47" fillId="14" borderId="34" xfId="0" applyFont="1" applyFill="1" applyBorder="1" applyAlignment="1"/>
    <xf numFmtId="0" fontId="9" fillId="9" borderId="0" xfId="0" applyFont="1" applyFill="1" applyBorder="1" applyAlignment="1" applyProtection="1">
      <alignment vertical="top" wrapText="1"/>
    </xf>
    <xf numFmtId="0" fontId="79" fillId="9" borderId="0" xfId="0" applyFont="1" applyFill="1" applyAlignment="1">
      <alignment horizontal="right"/>
    </xf>
    <xf numFmtId="0" fontId="74" fillId="9" borderId="0" xfId="0" applyNumberFormat="1" applyFont="1" applyFill="1" applyBorder="1" applyAlignment="1"/>
    <xf numFmtId="0" fontId="23" fillId="9" borderId="0" xfId="0" applyFont="1" applyFill="1" applyBorder="1"/>
    <xf numFmtId="0" fontId="23" fillId="9" borderId="0" xfId="0" applyFont="1" applyFill="1" applyBorder="1" applyAlignment="1" applyProtection="1">
      <alignment horizontal="left" wrapText="1"/>
    </xf>
    <xf numFmtId="164" fontId="23" fillId="9" borderId="0" xfId="0" applyNumberFormat="1" applyFont="1" applyFill="1" applyBorder="1" applyAlignment="1" applyProtection="1">
      <alignment wrapText="1"/>
    </xf>
    <xf numFmtId="0" fontId="26" fillId="9" borderId="0" xfId="0" applyFont="1" applyFill="1"/>
    <xf numFmtId="0" fontId="23" fillId="9" borderId="0" xfId="0" applyFont="1" applyFill="1" applyAlignment="1" applyProtection="1">
      <alignment horizontal="right" vertical="top"/>
    </xf>
    <xf numFmtId="0" fontId="23" fillId="9" borderId="0" xfId="0" applyFont="1" applyFill="1" applyBorder="1" applyAlignment="1" applyProtection="1">
      <alignment horizontal="right" vertical="top" wrapText="1"/>
    </xf>
    <xf numFmtId="0" fontId="23" fillId="9" borderId="0" xfId="0" applyFont="1" applyFill="1" applyBorder="1" applyAlignment="1" applyProtection="1">
      <alignment wrapText="1"/>
    </xf>
    <xf numFmtId="0" fontId="45" fillId="9" borderId="0" xfId="0" applyFont="1" applyFill="1"/>
    <xf numFmtId="0" fontId="45" fillId="9" borderId="0" xfId="0" applyFont="1" applyFill="1" applyBorder="1" applyAlignment="1" applyProtection="1">
      <alignment horizontal="left" wrapText="1"/>
    </xf>
    <xf numFmtId="0" fontId="25" fillId="9" borderId="0" xfId="0" applyFont="1" applyFill="1" applyBorder="1" applyAlignment="1" applyProtection="1">
      <alignment horizontal="center" wrapText="1"/>
    </xf>
    <xf numFmtId="0" fontId="25" fillId="9" borderId="0" xfId="0" applyFont="1" applyFill="1" applyBorder="1" applyAlignment="1" applyProtection="1">
      <alignment horizontal="left" vertical="center"/>
    </xf>
    <xf numFmtId="0" fontId="25" fillId="9" borderId="0" xfId="0" applyFont="1" applyFill="1" applyBorder="1" applyAlignment="1" applyProtection="1">
      <alignment wrapText="1"/>
    </xf>
    <xf numFmtId="0" fontId="45" fillId="9" borderId="0" xfId="0" applyFont="1" applyFill="1" applyBorder="1" applyAlignment="1" applyProtection="1">
      <alignment horizontal="right" vertical="top"/>
    </xf>
    <xf numFmtId="0" fontId="25" fillId="9" borderId="0" xfId="0" applyFont="1" applyFill="1" applyBorder="1" applyAlignment="1" applyProtection="1">
      <alignment horizontal="right" wrapText="1"/>
    </xf>
    <xf numFmtId="0" fontId="45" fillId="9" borderId="0" xfId="0" applyFont="1" applyFill="1" applyProtection="1"/>
    <xf numFmtId="0" fontId="26" fillId="9" borderId="0" xfId="0" applyFont="1" applyFill="1" applyAlignment="1" applyProtection="1">
      <alignment vertical="center" wrapText="1"/>
    </xf>
    <xf numFmtId="0" fontId="23" fillId="9" borderId="0" xfId="0" applyNumberFormat="1" applyFont="1" applyFill="1" applyBorder="1"/>
    <xf numFmtId="0" fontId="38" fillId="9" borderId="18" xfId="0" applyFont="1" applyFill="1" applyBorder="1"/>
    <xf numFmtId="0" fontId="23" fillId="9" borderId="18" xfId="0" applyNumberFormat="1" applyFont="1" applyFill="1" applyBorder="1"/>
    <xf numFmtId="0" fontId="23" fillId="9" borderId="0" xfId="0" applyFont="1" applyFill="1" applyAlignment="1" applyProtection="1">
      <alignment horizontal="center" vertical="top"/>
    </xf>
    <xf numFmtId="10" fontId="23" fillId="9" borderId="0" xfId="0" applyNumberFormat="1" applyFont="1" applyFill="1" applyAlignment="1" applyProtection="1">
      <alignment horizontal="right" vertical="top"/>
    </xf>
    <xf numFmtId="49" fontId="23" fillId="9" borderId="0" xfId="0" applyNumberFormat="1" applyFont="1" applyFill="1" applyAlignment="1" applyProtection="1">
      <alignment horizontal="right" vertical="top"/>
    </xf>
    <xf numFmtId="167" fontId="36" fillId="9" borderId="0" xfId="0" applyNumberFormat="1" applyFont="1" applyFill="1" applyBorder="1" applyAlignment="1" applyProtection="1">
      <alignment horizontal="right" vertical="top" wrapText="1"/>
    </xf>
    <xf numFmtId="0" fontId="26" fillId="9" borderId="0" xfId="0" applyFont="1" applyFill="1" applyAlignment="1" applyProtection="1">
      <alignment horizontal="right" vertical="top"/>
    </xf>
    <xf numFmtId="0" fontId="45" fillId="9" borderId="0" xfId="0" applyFont="1" applyFill="1" applyBorder="1"/>
    <xf numFmtId="0" fontId="25" fillId="9" borderId="0" xfId="0" applyFont="1" applyFill="1" applyBorder="1" applyAlignment="1" applyProtection="1">
      <alignment horizontal="left" vertical="top"/>
    </xf>
    <xf numFmtId="0" fontId="31" fillId="9" borderId="0" xfId="0" applyFont="1" applyFill="1" applyBorder="1" applyAlignment="1">
      <alignment vertical="top" wrapText="1"/>
    </xf>
    <xf numFmtId="1" fontId="23" fillId="9" borderId="0" xfId="0" applyNumberFormat="1" applyFont="1" applyFill="1"/>
    <xf numFmtId="1" fontId="25" fillId="9" borderId="0" xfId="0" applyNumberFormat="1" applyFont="1" applyFill="1"/>
    <xf numFmtId="0" fontId="23" fillId="9" borderId="0" xfId="0" applyFont="1" applyFill="1" applyBorder="1" applyAlignment="1" applyProtection="1">
      <alignment horizontal="right" vertical="top"/>
    </xf>
    <xf numFmtId="0" fontId="24" fillId="9" borderId="0" xfId="0" applyNumberFormat="1" applyFont="1" applyFill="1" applyBorder="1" applyAlignment="1">
      <alignment horizontal="right"/>
    </xf>
    <xf numFmtId="1" fontId="23" fillId="9" borderId="18" xfId="0" applyNumberFormat="1" applyFont="1" applyFill="1" applyBorder="1"/>
    <xf numFmtId="0" fontId="7" fillId="9" borderId="0" xfId="0" applyNumberFormat="1" applyFont="1" applyFill="1" applyAlignment="1">
      <alignment wrapText="1"/>
    </xf>
    <xf numFmtId="0" fontId="7" fillId="9" borderId="0" xfId="0" applyNumberFormat="1" applyFont="1" applyFill="1" applyBorder="1" applyAlignment="1">
      <alignment wrapText="1"/>
    </xf>
    <xf numFmtId="0" fontId="46" fillId="9" borderId="0" xfId="0" applyFont="1" applyFill="1" applyAlignment="1">
      <alignment wrapText="1"/>
    </xf>
    <xf numFmtId="0" fontId="46" fillId="9" borderId="0" xfId="0" applyFont="1" applyFill="1"/>
    <xf numFmtId="0" fontId="24" fillId="9" borderId="0" xfId="0" applyFont="1" applyFill="1"/>
    <xf numFmtId="0" fontId="7" fillId="9" borderId="0" xfId="0" applyFont="1" applyFill="1" applyBorder="1" applyAlignment="1">
      <alignment wrapText="1"/>
    </xf>
    <xf numFmtId="0" fontId="31" fillId="9" borderId="0" xfId="0" applyFont="1" applyFill="1" applyAlignment="1">
      <alignment wrapText="1"/>
    </xf>
    <xf numFmtId="1" fontId="25" fillId="9" borderId="0" xfId="0" applyNumberFormat="1" applyFont="1" applyFill="1" applyAlignment="1" applyProtection="1">
      <alignment horizontal="right" vertical="top"/>
    </xf>
    <xf numFmtId="0" fontId="24" fillId="9" borderId="0" xfId="0" applyFont="1" applyFill="1" applyAlignment="1">
      <alignment wrapText="1"/>
    </xf>
    <xf numFmtId="0" fontId="25" fillId="9" borderId="0" xfId="0" applyFont="1" applyFill="1" applyAlignment="1" applyProtection="1">
      <alignment horizontal="right"/>
    </xf>
    <xf numFmtId="0" fontId="25" fillId="9" borderId="0" xfId="0" applyFont="1" applyFill="1" applyAlignment="1" applyProtection="1">
      <alignment horizontal="left"/>
    </xf>
    <xf numFmtId="0" fontId="25" fillId="9" borderId="0" xfId="0" applyFont="1" applyFill="1" applyBorder="1" applyAlignment="1" applyProtection="1">
      <alignment horizontal="right" vertical="top"/>
    </xf>
    <xf numFmtId="0" fontId="42" fillId="9" borderId="0" xfId="0" applyFont="1" applyFill="1" applyAlignment="1">
      <alignment vertical="top" wrapText="1"/>
    </xf>
    <xf numFmtId="0" fontId="38" fillId="9" borderId="0" xfId="0" applyFont="1" applyFill="1" applyAlignment="1">
      <alignment horizontal="right" vertical="top"/>
    </xf>
    <xf numFmtId="0" fontId="42" fillId="9" borderId="0" xfId="0" applyFont="1" applyFill="1" applyAlignment="1">
      <alignment vertical="top"/>
    </xf>
    <xf numFmtId="0" fontId="46" fillId="9" borderId="0" xfId="0" applyNumberFormat="1" applyFont="1" applyFill="1" applyBorder="1" applyAlignment="1">
      <alignment horizontal="right"/>
    </xf>
    <xf numFmtId="0" fontId="36" fillId="9" borderId="0" xfId="0" applyNumberFormat="1" applyFont="1" applyFill="1" applyBorder="1"/>
    <xf numFmtId="0" fontId="46" fillId="9" borderId="0" xfId="0" applyNumberFormat="1" applyFont="1" applyFill="1" applyBorder="1"/>
    <xf numFmtId="0" fontId="25" fillId="9" borderId="5" xfId="0" applyNumberFormat="1" applyFont="1" applyFill="1" applyBorder="1" applyAlignment="1" applyProtection="1"/>
    <xf numFmtId="0" fontId="23" fillId="9" borderId="5" xfId="0" applyNumberFormat="1" applyFont="1" applyFill="1" applyBorder="1" applyAlignment="1" applyProtection="1">
      <alignment wrapText="1"/>
    </xf>
    <xf numFmtId="0" fontId="23" fillId="9" borderId="20" xfId="0" applyFont="1" applyFill="1" applyBorder="1"/>
    <xf numFmtId="0" fontId="23" fillId="9" borderId="6" xfId="0" applyNumberFormat="1" applyFont="1" applyFill="1" applyBorder="1" applyAlignment="1" applyProtection="1">
      <alignment wrapText="1"/>
    </xf>
    <xf numFmtId="0" fontId="23" fillId="9" borderId="5" xfId="0" applyNumberFormat="1" applyFont="1" applyFill="1" applyBorder="1" applyAlignment="1" applyProtection="1">
      <alignment wrapText="1"/>
      <protection locked="0"/>
    </xf>
    <xf numFmtId="0" fontId="24" fillId="9" borderId="1" xfId="0" applyFont="1" applyFill="1" applyBorder="1" applyAlignment="1" applyProtection="1">
      <alignment horizontal="center" vertical="center"/>
      <protection locked="0"/>
    </xf>
    <xf numFmtId="0" fontId="24" fillId="9" borderId="12" xfId="0" applyFont="1" applyFill="1" applyBorder="1" applyAlignment="1" applyProtection="1">
      <alignment horizontal="center" vertical="center"/>
      <protection locked="0"/>
    </xf>
    <xf numFmtId="0" fontId="27" fillId="9" borderId="0" xfId="0" applyFont="1" applyFill="1" applyBorder="1" applyAlignment="1" applyProtection="1">
      <alignment horizontal="center" vertical="center" wrapText="1"/>
    </xf>
    <xf numFmtId="0" fontId="24" fillId="9" borderId="0" xfId="0" applyFont="1" applyFill="1" applyAlignment="1" applyProtection="1">
      <alignment horizontal="right"/>
    </xf>
    <xf numFmtId="0" fontId="24" fillId="9" borderId="0" xfId="0" applyFont="1" applyFill="1" applyBorder="1" applyAlignment="1" applyProtection="1">
      <alignment vertical="center" wrapText="1"/>
    </xf>
    <xf numFmtId="0" fontId="23" fillId="9" borderId="0" xfId="0" applyNumberFormat="1" applyFont="1" applyFill="1" applyBorder="1" applyAlignment="1" applyProtection="1">
      <alignment wrapText="1"/>
    </xf>
    <xf numFmtId="0" fontId="27" fillId="9" borderId="0" xfId="0" applyFont="1" applyFill="1" applyAlignment="1"/>
    <xf numFmtId="0" fontId="23" fillId="9" borderId="0" xfId="0" applyNumberFormat="1" applyFont="1" applyFill="1" applyBorder="1" applyAlignment="1" applyProtection="1">
      <alignment wrapText="1"/>
      <protection locked="0"/>
    </xf>
    <xf numFmtId="0" fontId="27" fillId="9" borderId="0" xfId="0" applyFont="1" applyFill="1" applyBorder="1" applyAlignment="1">
      <alignment wrapText="1"/>
    </xf>
    <xf numFmtId="0" fontId="25" fillId="9" borderId="0" xfId="0" applyNumberFormat="1" applyFont="1" applyFill="1" applyBorder="1" applyAlignment="1">
      <alignment horizontal="left"/>
    </xf>
    <xf numFmtId="0" fontId="23" fillId="9" borderId="0" xfId="0" applyNumberFormat="1" applyFont="1" applyFill="1" applyBorder="1" applyAlignment="1">
      <alignment horizontal="left"/>
    </xf>
    <xf numFmtId="0" fontId="26" fillId="9" borderId="0" xfId="0" applyFont="1" applyFill="1" applyAlignment="1">
      <alignment horizontal="right"/>
    </xf>
    <xf numFmtId="0" fontId="46" fillId="9" borderId="0" xfId="0" applyFont="1" applyFill="1" applyAlignment="1" applyProtection="1">
      <alignment horizontal="right"/>
    </xf>
    <xf numFmtId="0" fontId="46" fillId="9" borderId="0" xfId="0" applyFont="1" applyFill="1" applyBorder="1" applyAlignment="1" applyProtection="1">
      <alignment vertical="center" wrapText="1"/>
    </xf>
    <xf numFmtId="0" fontId="26" fillId="9" borderId="0" xfId="0" applyNumberFormat="1" applyFont="1" applyFill="1" applyAlignment="1">
      <alignment wrapText="1"/>
    </xf>
    <xf numFmtId="0" fontId="45" fillId="9" borderId="0" xfId="0" applyFont="1" applyFill="1" applyAlignment="1">
      <alignment vertical="center" wrapText="1"/>
    </xf>
    <xf numFmtId="0" fontId="31" fillId="9" borderId="0" xfId="0" applyNumberFormat="1" applyFont="1" applyFill="1" applyBorder="1" applyAlignment="1">
      <alignment horizontal="right"/>
    </xf>
    <xf numFmtId="0" fontId="45" fillId="9" borderId="0" xfId="0" applyNumberFormat="1" applyFont="1" applyFill="1" applyAlignment="1" applyProtection="1">
      <alignment horizontal="right" vertical="top"/>
    </xf>
    <xf numFmtId="0" fontId="25" fillId="9" borderId="0" xfId="0" applyNumberFormat="1" applyFont="1" applyFill="1" applyAlignment="1" applyProtection="1">
      <alignment horizontal="right" vertical="top"/>
    </xf>
    <xf numFmtId="0" fontId="25" fillId="9" borderId="0" xfId="0" applyFont="1" applyFill="1" applyAlignment="1">
      <alignment horizontal="center" wrapText="1"/>
    </xf>
    <xf numFmtId="0" fontId="23" fillId="9" borderId="14" xfId="0" applyFont="1" applyFill="1" applyBorder="1"/>
    <xf numFmtId="0" fontId="27" fillId="9" borderId="0" xfId="0" applyFont="1" applyFill="1" applyBorder="1"/>
    <xf numFmtId="0" fontId="23" fillId="9" borderId="14" xfId="0" applyNumberFormat="1" applyFont="1" applyFill="1" applyBorder="1" applyAlignment="1">
      <alignment horizontal="center"/>
    </xf>
    <xf numFmtId="0" fontId="23" fillId="9" borderId="0" xfId="0" applyNumberFormat="1" applyFont="1" applyFill="1" applyBorder="1" applyAlignment="1">
      <alignment horizontal="center"/>
    </xf>
    <xf numFmtId="0" fontId="23" fillId="9" borderId="14" xfId="0" applyFont="1" applyFill="1" applyBorder="1" applyAlignment="1">
      <alignment horizontal="right"/>
    </xf>
    <xf numFmtId="0" fontId="25" fillId="9" borderId="0" xfId="0" applyFont="1" applyFill="1" applyBorder="1" applyAlignment="1">
      <alignment horizontal="left"/>
    </xf>
    <xf numFmtId="0" fontId="26" fillId="9" borderId="0" xfId="0" applyFont="1" applyFill="1" applyBorder="1" applyAlignment="1">
      <alignment vertical="center" wrapText="1"/>
    </xf>
    <xf numFmtId="0" fontId="24" fillId="9" borderId="0" xfId="0" applyFont="1" applyFill="1" applyAlignment="1">
      <alignment horizontal="right"/>
    </xf>
    <xf numFmtId="0" fontId="24" fillId="9" borderId="0" xfId="0" applyFont="1" applyFill="1" applyAlignment="1" applyProtection="1">
      <alignment horizontal="right" vertical="top"/>
    </xf>
    <xf numFmtId="0" fontId="45" fillId="9" borderId="0" xfId="0" applyNumberFormat="1" applyFont="1" applyFill="1" applyProtection="1"/>
    <xf numFmtId="0" fontId="23" fillId="9" borderId="0" xfId="0" applyNumberFormat="1" applyFont="1" applyFill="1" applyBorder="1" applyAlignment="1" applyProtection="1">
      <alignment horizontal="left" vertical="center"/>
    </xf>
    <xf numFmtId="0" fontId="23" fillId="9" borderId="14" xfId="0" applyNumberFormat="1" applyFont="1" applyFill="1" applyBorder="1" applyAlignment="1" applyProtection="1">
      <alignment horizontal="left" vertical="center"/>
    </xf>
    <xf numFmtId="0" fontId="23" fillId="9" borderId="14" xfId="0" applyNumberFormat="1" applyFont="1" applyFill="1" applyBorder="1" applyAlignment="1" applyProtection="1">
      <alignment horizontal="right"/>
    </xf>
    <xf numFmtId="0" fontId="27" fillId="9" borderId="0" xfId="0" applyFont="1" applyFill="1" applyAlignment="1" applyProtection="1">
      <alignment horizontal="left" vertical="top"/>
    </xf>
    <xf numFmtId="0" fontId="25" fillId="9" borderId="0" xfId="0" applyFont="1" applyFill="1" applyBorder="1" applyAlignment="1">
      <alignment wrapText="1"/>
    </xf>
    <xf numFmtId="0" fontId="74" fillId="9" borderId="0" xfId="0" applyFont="1" applyFill="1" applyBorder="1" applyAlignment="1">
      <alignment wrapText="1"/>
    </xf>
    <xf numFmtId="0" fontId="25" fillId="9" borderId="0" xfId="0" applyFont="1" applyFill="1" applyAlignment="1">
      <alignment horizontal="left" vertical="center"/>
    </xf>
    <xf numFmtId="0" fontId="26" fillId="9" borderId="0" xfId="0" applyNumberFormat="1" applyFont="1" applyFill="1" applyAlignment="1">
      <alignment horizontal="right"/>
    </xf>
    <xf numFmtId="0" fontId="27" fillId="9" borderId="0" xfId="0" applyNumberFormat="1" applyFont="1" applyFill="1" applyAlignment="1">
      <alignment horizontal="right"/>
    </xf>
    <xf numFmtId="0" fontId="31" fillId="9" borderId="0" xfId="0" applyFont="1" applyFill="1" applyBorder="1" applyAlignment="1">
      <alignment horizontal="right"/>
    </xf>
    <xf numFmtId="0" fontId="76" fillId="9" borderId="0" xfId="0" applyFont="1" applyFill="1" applyBorder="1"/>
    <xf numFmtId="167" fontId="76" fillId="9" borderId="0" xfId="0" applyNumberFormat="1" applyFont="1" applyFill="1" applyBorder="1" applyAlignment="1" applyProtection="1"/>
    <xf numFmtId="0" fontId="76" fillId="9" borderId="40" xfId="0" applyNumberFormat="1" applyFont="1" applyFill="1" applyBorder="1"/>
    <xf numFmtId="0" fontId="76" fillId="9" borderId="40" xfId="0" applyFont="1" applyFill="1" applyBorder="1" applyAlignment="1">
      <alignment horizontal="left"/>
    </xf>
    <xf numFmtId="0" fontId="76" fillId="9" borderId="40" xfId="0" applyFont="1" applyFill="1" applyBorder="1"/>
    <xf numFmtId="1" fontId="76" fillId="9" borderId="40" xfId="0" applyNumberFormat="1" applyFont="1" applyFill="1" applyBorder="1"/>
    <xf numFmtId="0" fontId="76" fillId="0" borderId="40" xfId="0" applyFont="1" applyBorder="1" applyAlignment="1">
      <alignment wrapText="1"/>
    </xf>
    <xf numFmtId="0" fontId="76" fillId="9" borderId="40" xfId="0" applyFont="1" applyFill="1" applyBorder="1" applyAlignment="1" applyProtection="1">
      <alignment horizontal="left"/>
    </xf>
    <xf numFmtId="0" fontId="76" fillId="9" borderId="0" xfId="0" applyFont="1" applyFill="1" applyBorder="1" applyAlignment="1" applyProtection="1">
      <alignment wrapText="1"/>
    </xf>
    <xf numFmtId="166" fontId="76" fillId="9" borderId="40" xfId="0" applyNumberFormat="1" applyFont="1" applyFill="1" applyBorder="1" applyAlignment="1">
      <alignment horizontal="right"/>
    </xf>
    <xf numFmtId="1" fontId="76" fillId="9" borderId="40" xfId="0" applyNumberFormat="1" applyFont="1" applyFill="1" applyBorder="1" applyAlignment="1"/>
    <xf numFmtId="0" fontId="76" fillId="9" borderId="40" xfId="0" applyFont="1" applyFill="1" applyBorder="1" applyAlignment="1"/>
    <xf numFmtId="0" fontId="76" fillId="9" borderId="40" xfId="0" applyFont="1" applyFill="1" applyBorder="1" applyAlignment="1" applyProtection="1"/>
    <xf numFmtId="167" fontId="76" fillId="0" borderId="40" xfId="0" applyNumberFormat="1" applyFont="1" applyBorder="1" applyAlignment="1">
      <alignment horizontal="right"/>
    </xf>
    <xf numFmtId="0" fontId="76" fillId="0" borderId="40" xfId="0" applyNumberFormat="1" applyFont="1" applyBorder="1"/>
    <xf numFmtId="0" fontId="76" fillId="9" borderId="40" xfId="0" applyNumberFormat="1" applyFont="1" applyFill="1" applyBorder="1" applyAlignment="1">
      <alignment horizontal="right"/>
    </xf>
    <xf numFmtId="49" fontId="76" fillId="9" borderId="40" xfId="0" applyNumberFormat="1" applyFont="1" applyFill="1" applyBorder="1" applyAlignment="1">
      <alignment horizontal="left"/>
    </xf>
    <xf numFmtId="1" fontId="76" fillId="15" borderId="5" xfId="0" applyNumberFormat="1" applyFont="1" applyFill="1" applyBorder="1" applyAlignment="1">
      <alignment horizontal="left"/>
    </xf>
    <xf numFmtId="0" fontId="76" fillId="9" borderId="10" xfId="0" applyFont="1" applyFill="1" applyBorder="1" applyAlignment="1">
      <alignment horizontal="left"/>
    </xf>
    <xf numFmtId="0" fontId="74" fillId="9" borderId="41" xfId="0" applyFont="1" applyFill="1" applyBorder="1"/>
    <xf numFmtId="0" fontId="74" fillId="9" borderId="41" xfId="0" applyFont="1" applyFill="1" applyBorder="1" applyAlignment="1">
      <alignment horizontal="left"/>
    </xf>
    <xf numFmtId="0" fontId="80" fillId="16" borderId="40" xfId="0" applyFont="1" applyFill="1" applyBorder="1" applyAlignment="1">
      <alignment wrapText="1"/>
    </xf>
    <xf numFmtId="0" fontId="80" fillId="16" borderId="40" xfId="0" applyNumberFormat="1" applyFont="1" applyFill="1" applyBorder="1" applyAlignment="1">
      <alignment wrapText="1"/>
    </xf>
    <xf numFmtId="0" fontId="81" fillId="12" borderId="40" xfId="0" applyFont="1" applyFill="1" applyBorder="1"/>
    <xf numFmtId="0" fontId="77" fillId="9" borderId="40" xfId="0" applyFont="1" applyFill="1" applyBorder="1"/>
    <xf numFmtId="167" fontId="76" fillId="9" borderId="40" xfId="0" applyNumberFormat="1" applyFont="1" applyFill="1" applyBorder="1" applyAlignment="1" applyProtection="1"/>
    <xf numFmtId="0" fontId="80" fillId="10" borderId="40" xfId="0" applyFont="1" applyFill="1" applyBorder="1" applyAlignment="1">
      <alignment horizontal="left"/>
    </xf>
    <xf numFmtId="1" fontId="80" fillId="15" borderId="40" xfId="0" applyNumberFormat="1" applyFont="1" applyFill="1" applyBorder="1" applyAlignment="1">
      <alignment horizontal="left"/>
    </xf>
    <xf numFmtId="0" fontId="76" fillId="9" borderId="40" xfId="0" applyFont="1" applyFill="1" applyBorder="1" applyAlignment="1" applyProtection="1">
      <alignment horizontal="left" wrapText="1"/>
    </xf>
    <xf numFmtId="0" fontId="82" fillId="9" borderId="40" xfId="0" applyFont="1" applyFill="1" applyBorder="1"/>
    <xf numFmtId="49" fontId="80" fillId="10" borderId="40" xfId="0" applyNumberFormat="1" applyFont="1" applyFill="1" applyBorder="1" applyAlignment="1">
      <alignment horizontal="left"/>
    </xf>
    <xf numFmtId="1" fontId="76" fillId="15" borderId="40" xfId="0" applyNumberFormat="1" applyFont="1" applyFill="1" applyBorder="1" applyAlignment="1">
      <alignment horizontal="left"/>
    </xf>
    <xf numFmtId="0" fontId="76" fillId="9" borderId="0" xfId="0" applyFont="1" applyFill="1" applyBorder="1" applyAlignment="1">
      <alignment wrapText="1"/>
    </xf>
    <xf numFmtId="0" fontId="80" fillId="16" borderId="40" xfId="0" applyFont="1" applyFill="1" applyBorder="1" applyAlignment="1">
      <alignment horizontal="left" wrapText="1"/>
    </xf>
    <xf numFmtId="0" fontId="83" fillId="0" borderId="40" xfId="0" applyFont="1" applyBorder="1" applyAlignment="1"/>
    <xf numFmtId="0" fontId="76" fillId="9" borderId="41" xfId="0" applyFont="1" applyFill="1" applyBorder="1" applyAlignment="1">
      <alignment horizontal="left"/>
    </xf>
    <xf numFmtId="0" fontId="76" fillId="9" borderId="22" xfId="0" applyFont="1" applyFill="1" applyBorder="1" applyAlignment="1">
      <alignment horizontal="left"/>
    </xf>
    <xf numFmtId="1" fontId="76" fillId="15" borderId="12" xfId="0" applyNumberFormat="1" applyFont="1" applyFill="1" applyBorder="1" applyAlignment="1">
      <alignment horizontal="left"/>
    </xf>
    <xf numFmtId="0" fontId="76" fillId="9" borderId="41" xfId="0" applyNumberFormat="1" applyFont="1" applyFill="1" applyBorder="1"/>
    <xf numFmtId="0" fontId="76" fillId="9" borderId="41" xfId="0" applyFont="1" applyFill="1" applyBorder="1"/>
    <xf numFmtId="0" fontId="0" fillId="17" borderId="40" xfId="0" applyFill="1" applyBorder="1" applyProtection="1"/>
    <xf numFmtId="0" fontId="5" fillId="9" borderId="0" xfId="0" applyNumberFormat="1" applyFont="1" applyFill="1" applyBorder="1" applyAlignment="1"/>
    <xf numFmtId="0" fontId="102" fillId="9" borderId="0" xfId="0" applyFont="1" applyFill="1"/>
    <xf numFmtId="0" fontId="103" fillId="9" borderId="0" xfId="0" applyNumberFormat="1" applyFont="1" applyFill="1" applyAlignment="1">
      <alignment horizontal="right"/>
    </xf>
    <xf numFmtId="1" fontId="104" fillId="9" borderId="0" xfId="0" applyNumberFormat="1" applyFont="1" applyFill="1" applyBorder="1" applyAlignment="1">
      <alignment horizontal="right"/>
    </xf>
    <xf numFmtId="0" fontId="104" fillId="9" borderId="0" xfId="0" applyNumberFormat="1" applyFont="1" applyFill="1" applyAlignment="1">
      <alignment horizontal="right"/>
    </xf>
    <xf numFmtId="0" fontId="105" fillId="9" borderId="0" xfId="0" applyFont="1" applyFill="1"/>
    <xf numFmtId="1" fontId="105" fillId="9" borderId="0" xfId="0" applyNumberFormat="1" applyFont="1" applyFill="1"/>
    <xf numFmtId="0" fontId="105" fillId="9" borderId="0" xfId="0" applyNumberFormat="1" applyFont="1" applyFill="1"/>
    <xf numFmtId="0" fontId="105" fillId="9" borderId="0" xfId="0" applyFont="1" applyFill="1" applyAlignment="1" applyProtection="1">
      <alignment horizontal="right" vertical="top"/>
    </xf>
    <xf numFmtId="0" fontId="104" fillId="9" borderId="0" xfId="0" applyFont="1" applyFill="1" applyBorder="1" applyAlignment="1">
      <alignment horizontal="right"/>
    </xf>
    <xf numFmtId="1" fontId="104" fillId="9" borderId="0" xfId="0" applyNumberFormat="1" applyFont="1" applyFill="1"/>
    <xf numFmtId="0" fontId="104" fillId="9" borderId="0" xfId="0" applyNumberFormat="1" applyFont="1" applyFill="1" applyBorder="1" applyAlignment="1">
      <alignment horizontal="right"/>
    </xf>
    <xf numFmtId="0" fontId="104" fillId="9" borderId="0" xfId="0" applyFont="1" applyFill="1" applyBorder="1" applyAlignment="1" applyProtection="1">
      <alignment horizontal="right"/>
    </xf>
    <xf numFmtId="0" fontId="104" fillId="9" borderId="0" xfId="0" applyFont="1" applyFill="1"/>
    <xf numFmtId="0" fontId="104" fillId="9" borderId="0" xfId="0" applyFont="1" applyFill="1" applyBorder="1" applyAlignment="1" applyProtection="1">
      <alignment horizontal="right" vertical="top"/>
    </xf>
    <xf numFmtId="0" fontId="104" fillId="9" borderId="0" xfId="0" applyNumberFormat="1" applyFont="1" applyFill="1" applyBorder="1" applyAlignment="1" applyProtection="1">
      <alignment horizontal="right" wrapText="1"/>
    </xf>
    <xf numFmtId="1" fontId="104" fillId="9" borderId="0" xfId="0" applyNumberFormat="1" applyFont="1" applyFill="1" applyBorder="1" applyAlignment="1" applyProtection="1">
      <alignment horizontal="right"/>
    </xf>
    <xf numFmtId="0" fontId="104" fillId="9" borderId="0" xfId="0" applyNumberFormat="1" applyFont="1" applyFill="1" applyBorder="1" applyAlignment="1" applyProtection="1">
      <alignment horizontal="right"/>
    </xf>
    <xf numFmtId="0" fontId="105" fillId="9" borderId="0" xfId="0" applyFont="1" applyFill="1" applyAlignment="1">
      <alignment wrapText="1"/>
    </xf>
    <xf numFmtId="0" fontId="106" fillId="9" borderId="0" xfId="0" applyFont="1" applyFill="1" applyAlignment="1">
      <alignment wrapText="1"/>
    </xf>
    <xf numFmtId="0" fontId="104" fillId="9" borderId="0" xfId="0" applyFont="1" applyFill="1" applyAlignment="1">
      <alignment wrapText="1"/>
    </xf>
    <xf numFmtId="0" fontId="104" fillId="9" borderId="0" xfId="0" applyFont="1" applyFill="1" applyBorder="1" applyAlignment="1">
      <alignment vertical="top" wrapText="1"/>
    </xf>
    <xf numFmtId="0" fontId="104" fillId="9" borderId="0" xfId="0" applyFont="1" applyFill="1" applyBorder="1" applyAlignment="1">
      <alignment horizontal="right" vertical="center" wrapText="1"/>
    </xf>
    <xf numFmtId="0" fontId="107" fillId="9" borderId="0" xfId="0" applyFont="1" applyFill="1" applyAlignment="1">
      <alignment horizontal="left"/>
    </xf>
    <xf numFmtId="0" fontId="104" fillId="9" borderId="0" xfId="0" applyNumberFormat="1" applyFont="1" applyFill="1" applyAlignment="1">
      <alignment wrapText="1"/>
    </xf>
    <xf numFmtId="0" fontId="104" fillId="9" borderId="0" xfId="0" applyFont="1" applyFill="1" applyBorder="1" applyAlignment="1">
      <alignment horizontal="right" wrapText="1"/>
    </xf>
    <xf numFmtId="0" fontId="106" fillId="9" borderId="0" xfId="0" applyFont="1" applyFill="1" applyBorder="1" applyAlignment="1">
      <alignment horizontal="right"/>
    </xf>
    <xf numFmtId="0" fontId="104" fillId="9" borderId="0" xfId="0" applyNumberFormat="1" applyFont="1" applyFill="1" applyBorder="1" applyAlignment="1">
      <alignment horizontal="right" wrapText="1"/>
    </xf>
    <xf numFmtId="0" fontId="104" fillId="9" borderId="0" xfId="0" applyFont="1" applyFill="1" applyBorder="1" applyAlignment="1">
      <alignment wrapText="1"/>
    </xf>
    <xf numFmtId="0" fontId="104" fillId="9" borderId="0" xfId="0" applyFont="1" applyFill="1" applyAlignment="1" applyProtection="1">
      <alignment horizontal="right" vertical="top"/>
    </xf>
    <xf numFmtId="0" fontId="104" fillId="9" borderId="0" xfId="0" applyNumberFormat="1" applyFont="1" applyFill="1" applyAlignment="1">
      <alignment horizontal="right" wrapText="1"/>
    </xf>
    <xf numFmtId="0" fontId="104" fillId="9" borderId="0" xfId="0" applyFont="1" applyFill="1" applyAlignment="1">
      <alignment horizontal="right"/>
    </xf>
    <xf numFmtId="0" fontId="105" fillId="9" borderId="0" xfId="0" applyFont="1" applyFill="1" applyAlignment="1">
      <alignment horizontal="right"/>
    </xf>
    <xf numFmtId="0" fontId="108" fillId="9" borderId="0" xfId="0" applyFont="1" applyFill="1" applyBorder="1" applyAlignment="1">
      <alignment horizontal="right"/>
    </xf>
    <xf numFmtId="0" fontId="102" fillId="9" borderId="0" xfId="0" applyFont="1" applyFill="1" applyAlignment="1"/>
    <xf numFmtId="1" fontId="105" fillId="9" borderId="0" xfId="0" applyNumberFormat="1" applyFont="1" applyFill="1" applyAlignment="1"/>
    <xf numFmtId="0" fontId="105" fillId="9" borderId="0" xfId="0" applyFont="1" applyFill="1" applyAlignment="1"/>
    <xf numFmtId="167" fontId="109" fillId="9" borderId="0" xfId="0" applyNumberFormat="1" applyFont="1" applyFill="1"/>
    <xf numFmtId="0" fontId="105" fillId="9" borderId="0" xfId="0" applyFont="1" applyFill="1" applyBorder="1" applyAlignment="1">
      <alignment horizontal="left" vertical="center" wrapText="1"/>
    </xf>
    <xf numFmtId="0" fontId="107" fillId="9" borderId="0" xfId="0" applyFont="1" applyFill="1" applyAlignment="1">
      <alignment horizontal="justify"/>
    </xf>
    <xf numFmtId="1" fontId="105" fillId="9" borderId="0" xfId="0" applyNumberFormat="1" applyFont="1" applyFill="1" applyAlignment="1">
      <alignment horizontal="left"/>
    </xf>
    <xf numFmtId="0" fontId="105" fillId="9" borderId="0" xfId="0" applyFont="1" applyFill="1" applyAlignment="1">
      <alignment horizontal="left"/>
    </xf>
    <xf numFmtId="0" fontId="105" fillId="9" borderId="0" xfId="0" applyFont="1" applyFill="1" applyBorder="1"/>
    <xf numFmtId="1" fontId="105" fillId="9" borderId="0" xfId="0" applyNumberFormat="1" applyFont="1" applyFill="1" applyBorder="1"/>
    <xf numFmtId="0" fontId="105" fillId="9" borderId="0" xfId="0" applyNumberFormat="1" applyFont="1" applyFill="1" applyBorder="1" applyProtection="1"/>
    <xf numFmtId="0" fontId="105" fillId="9" borderId="0" xfId="0" applyNumberFormat="1" applyFont="1" applyFill="1" applyBorder="1"/>
    <xf numFmtId="0" fontId="105" fillId="9" borderId="0" xfId="0" applyNumberFormat="1" applyFont="1" applyFill="1" applyProtection="1"/>
    <xf numFmtId="1" fontId="105" fillId="9" borderId="0" xfId="0" applyNumberFormat="1" applyFont="1" applyFill="1" applyProtection="1"/>
    <xf numFmtId="0" fontId="105" fillId="9" borderId="0" xfId="0" applyFont="1" applyFill="1" applyProtection="1"/>
    <xf numFmtId="0" fontId="107" fillId="9" borderId="0" xfId="0" applyNumberFormat="1" applyFont="1" applyFill="1" applyBorder="1" applyAlignment="1">
      <alignment horizontal="right"/>
    </xf>
    <xf numFmtId="1" fontId="105" fillId="0" borderId="0" xfId="0" applyNumberFormat="1" applyFont="1" applyFill="1"/>
    <xf numFmtId="0" fontId="105" fillId="9" borderId="0" xfId="0" applyFont="1" applyFill="1" applyAlignment="1">
      <alignment horizontal="center" wrapText="1"/>
    </xf>
    <xf numFmtId="0" fontId="105" fillId="9" borderId="0" xfId="0" applyFont="1" applyFill="1" applyAlignment="1">
      <alignment horizontal="right" wrapText="1"/>
    </xf>
    <xf numFmtId="0" fontId="108" fillId="9" borderId="0" xfId="0" applyFont="1" applyFill="1" applyBorder="1" applyAlignment="1">
      <alignment horizontal="left"/>
    </xf>
    <xf numFmtId="1" fontId="108" fillId="9" borderId="0" xfId="0" applyNumberFormat="1" applyFont="1" applyFill="1" applyBorder="1" applyAlignment="1">
      <alignment horizontal="left"/>
    </xf>
    <xf numFmtId="0" fontId="105" fillId="9" borderId="40" xfId="0" applyNumberFormat="1" applyFont="1" applyFill="1" applyBorder="1" applyAlignment="1">
      <alignment wrapText="1"/>
    </xf>
    <xf numFmtId="0" fontId="105" fillId="9" borderId="0" xfId="0" applyNumberFormat="1" applyFont="1" applyFill="1" applyAlignment="1" applyProtection="1">
      <alignment horizontal="right" vertical="top"/>
    </xf>
    <xf numFmtId="2" fontId="108" fillId="9" borderId="0" xfId="0" applyNumberFormat="1" applyFont="1" applyFill="1" applyBorder="1" applyAlignment="1">
      <alignment horizontal="right"/>
    </xf>
    <xf numFmtId="2" fontId="105" fillId="9" borderId="0" xfId="0" applyNumberFormat="1" applyFont="1" applyFill="1" applyBorder="1" applyAlignment="1">
      <alignment horizontal="right"/>
    </xf>
    <xf numFmtId="0" fontId="105" fillId="9" borderId="0" xfId="0" applyFont="1" applyFill="1" applyBorder="1" applyAlignment="1">
      <alignment horizontal="left"/>
    </xf>
    <xf numFmtId="1" fontId="105" fillId="9" borderId="0" xfId="0" applyNumberFormat="1" applyFont="1" applyFill="1" applyBorder="1" applyAlignment="1">
      <alignment horizontal="left"/>
    </xf>
    <xf numFmtId="0" fontId="105" fillId="9" borderId="0" xfId="0" applyNumberFormat="1" applyFont="1" applyFill="1" applyAlignment="1" applyProtection="1">
      <alignment horizontal="left" vertical="top"/>
    </xf>
    <xf numFmtId="0" fontId="105" fillId="9" borderId="0" xfId="0" applyNumberFormat="1" applyFont="1" applyFill="1" applyBorder="1" applyAlignment="1">
      <alignment horizontal="left"/>
    </xf>
    <xf numFmtId="0" fontId="105" fillId="9" borderId="0" xfId="0" applyNumberFormat="1" applyFont="1" applyFill="1" applyAlignment="1">
      <alignment horizontal="left"/>
    </xf>
    <xf numFmtId="0" fontId="108" fillId="9" borderId="0" xfId="0" applyFont="1" applyFill="1" applyBorder="1" applyAlignment="1">
      <alignment vertical="center" wrapText="1"/>
    </xf>
    <xf numFmtId="0" fontId="107" fillId="9" borderId="0" xfId="0" applyFont="1" applyFill="1" applyAlignment="1">
      <alignment horizontal="right"/>
    </xf>
    <xf numFmtId="0" fontId="108" fillId="9" borderId="0" xfId="0" applyFont="1" applyFill="1" applyBorder="1" applyAlignment="1">
      <alignment horizontal="left" vertical="center" wrapText="1"/>
    </xf>
    <xf numFmtId="0" fontId="105" fillId="9" borderId="0" xfId="0" applyNumberFormat="1" applyFont="1" applyFill="1" applyAlignment="1"/>
    <xf numFmtId="0" fontId="105" fillId="9" borderId="0" xfId="0" applyNumberFormat="1" applyFont="1" applyFill="1" applyBorder="1" applyAlignment="1"/>
    <xf numFmtId="1" fontId="103" fillId="9" borderId="0" xfId="0" applyNumberFormat="1" applyFont="1" applyFill="1" applyBorder="1" applyAlignment="1">
      <alignment horizontal="right"/>
    </xf>
    <xf numFmtId="0" fontId="106" fillId="9" borderId="0" xfId="0" applyFont="1" applyFill="1" applyAlignment="1">
      <alignment horizontal="right"/>
    </xf>
    <xf numFmtId="0" fontId="108" fillId="9" borderId="0" xfId="0" applyFont="1" applyFill="1" applyAlignment="1">
      <alignment wrapText="1"/>
    </xf>
    <xf numFmtId="0" fontId="110" fillId="9" borderId="0" xfId="0" applyFont="1" applyFill="1"/>
    <xf numFmtId="0" fontId="107" fillId="9" borderId="0" xfId="0" applyFont="1" applyFill="1" applyBorder="1"/>
    <xf numFmtId="0" fontId="4" fillId="10" borderId="42" xfId="0" applyFont="1" applyFill="1" applyBorder="1"/>
    <xf numFmtId="0" fontId="4" fillId="10" borderId="5" xfId="0" applyFont="1" applyFill="1" applyBorder="1"/>
    <xf numFmtId="0" fontId="4" fillId="10" borderId="43" xfId="0" applyFont="1" applyFill="1" applyBorder="1"/>
    <xf numFmtId="0" fontId="3" fillId="9" borderId="44" xfId="0" applyNumberFormat="1" applyFont="1" applyFill="1" applyBorder="1" applyAlignment="1"/>
    <xf numFmtId="0" fontId="3" fillId="9" borderId="19" xfId="0" applyNumberFormat="1" applyFont="1" applyFill="1" applyBorder="1" applyAlignment="1"/>
    <xf numFmtId="0" fontId="3" fillId="9" borderId="20" xfId="0" applyNumberFormat="1" applyFont="1" applyFill="1" applyBorder="1" applyAlignment="1"/>
    <xf numFmtId="0" fontId="6" fillId="0" borderId="0" xfId="0" applyFont="1" applyBorder="1" applyAlignment="1">
      <alignment wrapText="1"/>
    </xf>
    <xf numFmtId="0" fontId="3" fillId="10" borderId="17" xfId="0" applyFont="1" applyFill="1" applyBorder="1" applyAlignment="1">
      <alignment horizontal="right" vertical="center" wrapText="1"/>
    </xf>
    <xf numFmtId="0" fontId="3" fillId="10" borderId="18" xfId="0" applyFont="1" applyFill="1" applyBorder="1" applyAlignment="1">
      <alignment horizontal="right" vertical="center" wrapText="1"/>
    </xf>
    <xf numFmtId="10" fontId="0" fillId="11" borderId="10" xfId="0" applyNumberFormat="1" applyFill="1" applyBorder="1" applyAlignment="1" applyProtection="1">
      <alignment horizontal="center" wrapText="1"/>
      <protection locked="0"/>
    </xf>
    <xf numFmtId="10" fontId="0" fillId="11" borderId="5" xfId="0" applyNumberFormat="1" applyFill="1" applyBorder="1" applyAlignment="1" applyProtection="1">
      <alignment horizontal="center" wrapText="1"/>
      <protection locked="0"/>
    </xf>
    <xf numFmtId="10" fontId="0" fillId="11" borderId="6" xfId="0" applyNumberFormat="1" applyFill="1" applyBorder="1" applyAlignment="1" applyProtection="1">
      <alignment horizontal="center" wrapText="1"/>
      <protection locked="0"/>
    </xf>
    <xf numFmtId="0" fontId="24" fillId="9" borderId="0" xfId="0" applyFont="1" applyFill="1" applyAlignment="1" applyProtection="1">
      <alignment horizontal="center" vertical="top" wrapText="1"/>
    </xf>
    <xf numFmtId="0" fontId="24" fillId="9" borderId="37" xfId="0" applyFont="1" applyFill="1" applyBorder="1" applyAlignment="1" applyProtection="1">
      <alignment horizontal="center" vertical="top" wrapText="1"/>
    </xf>
    <xf numFmtId="0" fontId="3" fillId="11" borderId="10" xfId="0" applyNumberFormat="1" applyFont="1" applyFill="1" applyBorder="1" applyAlignment="1" applyProtection="1">
      <alignment horizontal="right" wrapText="1"/>
      <protection locked="0"/>
    </xf>
    <xf numFmtId="0" fontId="3" fillId="11" borderId="5" xfId="0" applyNumberFormat="1" applyFont="1" applyFill="1" applyBorder="1" applyAlignment="1" applyProtection="1">
      <alignment horizontal="right" wrapText="1"/>
      <protection locked="0"/>
    </xf>
    <xf numFmtId="0" fontId="3" fillId="11" borderId="6" xfId="0" applyNumberFormat="1" applyFont="1" applyFill="1" applyBorder="1" applyAlignment="1" applyProtection="1">
      <alignment horizontal="right" wrapText="1"/>
      <protection locked="0"/>
    </xf>
    <xf numFmtId="0" fontId="5" fillId="10" borderId="44" xfId="0" applyNumberFormat="1" applyFont="1" applyFill="1" applyBorder="1" applyAlignment="1">
      <alignment horizontal="center" vertical="center"/>
    </xf>
    <xf numFmtId="0" fontId="5" fillId="10" borderId="19" xfId="0" applyNumberFormat="1" applyFont="1" applyFill="1" applyBorder="1" applyAlignment="1">
      <alignment horizontal="center" vertical="center"/>
    </xf>
    <xf numFmtId="0" fontId="5" fillId="10" borderId="20" xfId="0" applyNumberFormat="1" applyFont="1" applyFill="1" applyBorder="1" applyAlignment="1">
      <alignment horizontal="center" vertical="center"/>
    </xf>
    <xf numFmtId="0" fontId="3" fillId="9" borderId="35" xfId="0" applyFont="1" applyFill="1" applyBorder="1" applyAlignment="1">
      <alignment horizontal="left" vertical="center" wrapText="1"/>
    </xf>
    <xf numFmtId="0" fontId="3" fillId="9" borderId="1"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9" borderId="39"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9" borderId="12" xfId="0" applyFont="1" applyFill="1" applyBorder="1" applyAlignment="1">
      <alignment horizontal="left" vertical="center" wrapText="1"/>
    </xf>
    <xf numFmtId="0" fontId="3" fillId="9" borderId="11" xfId="0" applyFont="1" applyFill="1" applyBorder="1" applyAlignment="1">
      <alignment horizontal="left" vertical="center" wrapText="1"/>
    </xf>
    <xf numFmtId="0" fontId="3" fillId="9" borderId="35" xfId="0" applyFont="1" applyFill="1" applyBorder="1" applyAlignment="1">
      <alignment horizontal="left" wrapText="1"/>
    </xf>
    <xf numFmtId="0" fontId="3" fillId="9" borderId="1" xfId="0" applyFont="1" applyFill="1" applyBorder="1" applyAlignment="1">
      <alignment horizontal="left" wrapText="1"/>
    </xf>
    <xf numFmtId="0" fontId="3" fillId="9" borderId="23" xfId="0" applyFont="1" applyFill="1" applyBorder="1" applyAlignment="1">
      <alignment horizontal="left" wrapText="1"/>
    </xf>
    <xf numFmtId="0" fontId="3" fillId="9" borderId="22" xfId="0" applyFont="1" applyFill="1" applyBorder="1" applyAlignment="1">
      <alignment horizontal="left" wrapText="1"/>
    </xf>
    <xf numFmtId="0" fontId="3" fillId="9" borderId="12" xfId="0" applyFont="1" applyFill="1" applyBorder="1" applyAlignment="1">
      <alignment horizontal="left" wrapText="1"/>
    </xf>
    <xf numFmtId="0" fontId="3" fillId="9" borderId="11" xfId="0" applyFont="1" applyFill="1" applyBorder="1" applyAlignment="1">
      <alignment horizontal="left" wrapText="1"/>
    </xf>
    <xf numFmtId="0" fontId="3" fillId="9" borderId="10" xfId="0" applyFont="1" applyFill="1" applyBorder="1" applyAlignment="1"/>
    <xf numFmtId="0" fontId="3" fillId="9" borderId="5" xfId="0" applyFont="1" applyFill="1" applyBorder="1" applyAlignment="1"/>
    <xf numFmtId="0" fontId="3" fillId="9" borderId="6" xfId="0" applyFont="1" applyFill="1" applyBorder="1" applyAlignment="1"/>
    <xf numFmtId="0" fontId="3" fillId="9" borderId="44" xfId="0" applyFont="1" applyFill="1" applyBorder="1" applyAlignment="1" applyProtection="1">
      <alignment horizontal="center"/>
    </xf>
    <xf numFmtId="0" fontId="0" fillId="9" borderId="19" xfId="0" applyFill="1" applyBorder="1" applyAlignment="1" applyProtection="1">
      <alignment horizontal="center"/>
    </xf>
    <xf numFmtId="0" fontId="0" fillId="9" borderId="20" xfId="0" applyFill="1" applyBorder="1" applyAlignment="1" applyProtection="1">
      <alignment horizontal="center"/>
    </xf>
    <xf numFmtId="0" fontId="4" fillId="12" borderId="35" xfId="0" applyNumberFormat="1" applyFont="1" applyFill="1" applyBorder="1" applyAlignment="1" applyProtection="1">
      <alignment horizontal="center" vertical="center" wrapText="1"/>
      <protection locked="0"/>
    </xf>
    <xf numFmtId="0" fontId="4" fillId="12" borderId="1"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4" fillId="12" borderId="2" xfId="0" applyNumberFormat="1" applyFont="1" applyFill="1" applyBorder="1" applyAlignment="1" applyProtection="1">
      <alignment horizontal="center" vertical="center" wrapText="1"/>
      <protection locked="0"/>
    </xf>
    <xf numFmtId="0" fontId="4" fillId="12" borderId="0" xfId="0" applyNumberFormat="1" applyFont="1" applyFill="1" applyBorder="1" applyAlignment="1" applyProtection="1">
      <alignment horizontal="center" vertical="center" wrapText="1"/>
      <protection locked="0"/>
    </xf>
    <xf numFmtId="0" fontId="4" fillId="12" borderId="39"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2" borderId="12" xfId="0" applyNumberFormat="1" applyFont="1" applyFill="1" applyBorder="1" applyAlignment="1" applyProtection="1">
      <alignment horizontal="center" vertical="center" wrapText="1"/>
      <protection locked="0"/>
    </xf>
    <xf numFmtId="0" fontId="4" fillId="12" borderId="11" xfId="0" applyNumberFormat="1" applyFont="1" applyFill="1" applyBorder="1" applyAlignment="1" applyProtection="1">
      <alignment horizontal="center" vertical="center" wrapText="1"/>
      <protection locked="0"/>
    </xf>
    <xf numFmtId="0" fontId="67" fillId="9" borderId="17" xfId="0" applyNumberFormat="1" applyFont="1" applyFill="1" applyBorder="1" applyAlignment="1">
      <alignment horizontal="center"/>
    </xf>
    <xf numFmtId="0" fontId="67" fillId="9" borderId="18" xfId="0" applyNumberFormat="1" applyFont="1" applyFill="1" applyBorder="1" applyAlignment="1">
      <alignment horizontal="center"/>
    </xf>
    <xf numFmtId="0" fontId="67" fillId="9" borderId="45" xfId="0" applyNumberFormat="1" applyFont="1" applyFill="1" applyBorder="1" applyAlignment="1">
      <alignment horizontal="center"/>
    </xf>
    <xf numFmtId="0" fontId="3" fillId="9" borderId="35" xfId="0" applyFont="1" applyFill="1" applyBorder="1" applyAlignment="1">
      <alignment horizontal="center" wrapText="1"/>
    </xf>
    <xf numFmtId="0" fontId="3" fillId="9" borderId="1" xfId="0" applyFont="1" applyFill="1" applyBorder="1" applyAlignment="1">
      <alignment horizontal="center" wrapText="1"/>
    </xf>
    <xf numFmtId="0" fontId="3" fillId="9" borderId="46" xfId="0" applyFont="1" applyFill="1" applyBorder="1" applyAlignment="1">
      <alignment horizontal="center" wrapText="1"/>
    </xf>
    <xf numFmtId="0" fontId="25" fillId="18" borderId="10" xfId="0" applyNumberFormat="1" applyFont="1" applyFill="1" applyBorder="1" applyAlignment="1" applyProtection="1">
      <alignment wrapText="1"/>
      <protection locked="0"/>
    </xf>
    <xf numFmtId="0" fontId="25" fillId="18" borderId="5" xfId="0" applyNumberFormat="1" applyFont="1" applyFill="1" applyBorder="1" applyAlignment="1" applyProtection="1">
      <alignment wrapText="1"/>
      <protection locked="0"/>
    </xf>
    <xf numFmtId="0" fontId="25" fillId="18" borderId="6" xfId="0" applyNumberFormat="1" applyFont="1" applyFill="1" applyBorder="1" applyAlignment="1" applyProtection="1">
      <alignment wrapText="1"/>
      <protection locked="0"/>
    </xf>
    <xf numFmtId="0" fontId="4" fillId="9" borderId="2" xfId="0" applyFont="1" applyFill="1" applyBorder="1" applyAlignment="1">
      <alignment horizontal="center" vertical="top" wrapText="1"/>
    </xf>
    <xf numFmtId="0" fontId="4" fillId="9" borderId="0" xfId="0" applyFont="1" applyFill="1" applyBorder="1" applyAlignment="1">
      <alignment horizontal="center" vertical="top" wrapText="1"/>
    </xf>
    <xf numFmtId="0" fontId="4" fillId="9" borderId="47" xfId="0" applyFont="1" applyFill="1" applyBorder="1" applyAlignment="1">
      <alignment horizontal="center" vertical="top" wrapText="1"/>
    </xf>
    <xf numFmtId="0" fontId="4" fillId="10" borderId="35"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39"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25" fillId="9" borderId="49" xfId="0" applyNumberFormat="1" applyFont="1" applyFill="1" applyBorder="1" applyAlignment="1" applyProtection="1">
      <alignment horizontal="right" wrapText="1"/>
    </xf>
    <xf numFmtId="0" fontId="25" fillId="9" borderId="50" xfId="0" applyNumberFormat="1" applyFont="1" applyFill="1" applyBorder="1" applyAlignment="1" applyProtection="1">
      <alignment horizontal="right" wrapText="1"/>
    </xf>
    <xf numFmtId="0" fontId="25" fillId="9" borderId="51" xfId="0" applyNumberFormat="1" applyFont="1" applyFill="1" applyBorder="1" applyAlignment="1" applyProtection="1">
      <alignment horizontal="right" wrapText="1"/>
    </xf>
    <xf numFmtId="0" fontId="25" fillId="18" borderId="10" xfId="0" applyNumberFormat="1" applyFont="1" applyFill="1" applyBorder="1" applyAlignment="1" applyProtection="1">
      <alignment horizontal="left" wrapText="1"/>
      <protection locked="0"/>
    </xf>
    <xf numFmtId="0" fontId="25" fillId="18" borderId="5" xfId="0" applyNumberFormat="1" applyFont="1" applyFill="1" applyBorder="1" applyAlignment="1" applyProtection="1">
      <alignment horizontal="left" wrapText="1"/>
      <protection locked="0"/>
    </xf>
    <xf numFmtId="0" fontId="25" fillId="18" borderId="6" xfId="0" applyNumberFormat="1" applyFont="1" applyFill="1" applyBorder="1" applyAlignment="1" applyProtection="1">
      <alignment horizontal="left" wrapText="1"/>
      <protection locked="0"/>
    </xf>
    <xf numFmtId="0" fontId="25" fillId="9" borderId="52" xfId="0" applyNumberFormat="1" applyFont="1" applyFill="1" applyBorder="1" applyAlignment="1" applyProtection="1">
      <alignment horizontal="center" wrapText="1"/>
    </xf>
    <xf numFmtId="0" fontId="25" fillId="9" borderId="50" xfId="0" applyNumberFormat="1" applyFont="1" applyFill="1" applyBorder="1" applyAlignment="1" applyProtection="1">
      <alignment horizontal="center" wrapText="1"/>
    </xf>
    <xf numFmtId="0" fontId="25" fillId="9" borderId="51" xfId="0" applyNumberFormat="1" applyFont="1" applyFill="1" applyBorder="1" applyAlignment="1" applyProtection="1">
      <alignment horizontal="center" wrapText="1"/>
    </xf>
    <xf numFmtId="0" fontId="4" fillId="9" borderId="24" xfId="0" applyFont="1" applyFill="1" applyBorder="1" applyAlignment="1">
      <alignment horizontal="center" wrapText="1"/>
    </xf>
    <xf numFmtId="0" fontId="4" fillId="9" borderId="14" xfId="0" applyFont="1" applyFill="1" applyBorder="1" applyAlignment="1">
      <alignment horizontal="center" wrapText="1"/>
    </xf>
    <xf numFmtId="0" fontId="4" fillId="9" borderId="53" xfId="0" applyFont="1" applyFill="1" applyBorder="1" applyAlignment="1">
      <alignment horizontal="center" wrapText="1"/>
    </xf>
    <xf numFmtId="0" fontId="4" fillId="9" borderId="2" xfId="0" applyFont="1" applyFill="1" applyBorder="1" applyAlignment="1">
      <alignment horizontal="center" wrapText="1"/>
    </xf>
    <xf numFmtId="0" fontId="4" fillId="9" borderId="0" xfId="0" applyFont="1" applyFill="1" applyBorder="1" applyAlignment="1">
      <alignment horizontal="center" wrapText="1"/>
    </xf>
    <xf numFmtId="0" fontId="4" fillId="9" borderId="47" xfId="0" applyFont="1" applyFill="1" applyBorder="1" applyAlignment="1">
      <alignment horizontal="center" wrapText="1"/>
    </xf>
    <xf numFmtId="2" fontId="23" fillId="9" borderId="40" xfId="0" applyNumberFormat="1" applyFont="1" applyFill="1" applyBorder="1" applyAlignment="1" applyProtection="1">
      <alignment horizontal="center" wrapText="1"/>
      <protection locked="0"/>
    </xf>
    <xf numFmtId="0" fontId="0" fillId="0" borderId="40" xfId="0" applyBorder="1" applyAlignment="1" applyProtection="1">
      <alignment horizontal="center"/>
      <protection locked="0"/>
    </xf>
    <xf numFmtId="2" fontId="23" fillId="9" borderId="54" xfId="0" applyNumberFormat="1" applyFont="1" applyFill="1" applyBorder="1" applyAlignment="1" applyProtection="1">
      <alignment horizontal="center" wrapText="1"/>
      <protection locked="0"/>
    </xf>
    <xf numFmtId="2" fontId="23" fillId="9" borderId="32" xfId="0" applyNumberFormat="1" applyFont="1" applyFill="1" applyBorder="1" applyAlignment="1" applyProtection="1">
      <alignment horizontal="center" wrapText="1"/>
      <protection locked="0"/>
    </xf>
    <xf numFmtId="2" fontId="23" fillId="9" borderId="55" xfId="0" applyNumberFormat="1" applyFont="1" applyFill="1" applyBorder="1" applyAlignment="1" applyProtection="1">
      <alignment horizontal="center" wrapText="1"/>
      <protection locked="0"/>
    </xf>
    <xf numFmtId="0" fontId="7" fillId="0" borderId="35" xfId="0" applyFont="1" applyBorder="1" applyAlignment="1">
      <alignment horizontal="left" vertical="center" wrapText="1"/>
    </xf>
    <xf numFmtId="0" fontId="7" fillId="0" borderId="1" xfId="0" applyFont="1" applyBorder="1" applyAlignment="1">
      <alignment horizontal="left" vertical="center" wrapText="1"/>
    </xf>
    <xf numFmtId="0" fontId="7" fillId="0" borderId="23"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3" fillId="9" borderId="26" xfId="0" applyFont="1" applyFill="1" applyBorder="1" applyAlignment="1">
      <alignment horizontal="right" vertical="center" wrapText="1"/>
    </xf>
    <xf numFmtId="0" fontId="3" fillId="9" borderId="27" xfId="0" applyFont="1" applyFill="1" applyBorder="1" applyAlignment="1">
      <alignment horizontal="right" vertical="center" wrapText="1"/>
    </xf>
    <xf numFmtId="0" fontId="3" fillId="9" borderId="25" xfId="0" applyFont="1" applyFill="1" applyBorder="1" applyAlignment="1">
      <alignment horizontal="right" vertical="center" wrapText="1"/>
    </xf>
    <xf numFmtId="0" fontId="3" fillId="9" borderId="42" xfId="0" applyFont="1" applyFill="1" applyBorder="1" applyAlignment="1"/>
    <xf numFmtId="0" fontId="3" fillId="9" borderId="43" xfId="0" applyFont="1" applyFill="1" applyBorder="1" applyAlignment="1"/>
    <xf numFmtId="0" fontId="7" fillId="0" borderId="1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3" fillId="9" borderId="5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47" xfId="0" applyFont="1" applyFill="1" applyBorder="1" applyAlignment="1">
      <alignment horizontal="center" vertical="center" wrapText="1"/>
    </xf>
    <xf numFmtId="0" fontId="3" fillId="9" borderId="54"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4" fillId="9" borderId="26" xfId="0" applyNumberFormat="1" applyFont="1" applyFill="1" applyBorder="1" applyAlignment="1" applyProtection="1">
      <alignment horizontal="left" vertical="top" wrapText="1"/>
      <protection locked="0"/>
    </xf>
    <xf numFmtId="0" fontId="4" fillId="9" borderId="27" xfId="0" applyNumberFormat="1" applyFont="1" applyFill="1" applyBorder="1" applyAlignment="1" applyProtection="1">
      <alignment horizontal="left" vertical="top" wrapText="1"/>
      <protection locked="0"/>
    </xf>
    <xf numFmtId="0" fontId="4" fillId="9" borderId="58" xfId="0" applyNumberFormat="1" applyFont="1" applyFill="1" applyBorder="1" applyAlignment="1" applyProtection="1">
      <alignment horizontal="left" vertical="top" wrapText="1"/>
      <protection locked="0"/>
    </xf>
    <xf numFmtId="0" fontId="7" fillId="0" borderId="35" xfId="0" applyFont="1" applyBorder="1" applyAlignment="1">
      <alignment vertical="center" wrapText="1"/>
    </xf>
    <xf numFmtId="0" fontId="7" fillId="0" borderId="1" xfId="0" applyFont="1" applyBorder="1" applyAlignment="1">
      <alignment vertical="center" wrapText="1"/>
    </xf>
    <xf numFmtId="0" fontId="7" fillId="0" borderId="23" xfId="0" applyFont="1" applyBorder="1" applyAlignment="1">
      <alignment vertical="center" wrapText="1"/>
    </xf>
    <xf numFmtId="0" fontId="4" fillId="12" borderId="10"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4" fillId="12" borderId="59" xfId="0" applyNumberFormat="1" applyFont="1" applyFill="1" applyBorder="1" applyAlignment="1" applyProtection="1">
      <alignment horizontal="center" vertical="center" wrapText="1"/>
      <protection locked="0"/>
    </xf>
    <xf numFmtId="0" fontId="4" fillId="9" borderId="3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39" xfId="0" applyFont="1" applyFill="1" applyBorder="1" applyAlignment="1">
      <alignment horizontal="center" vertical="center" wrapText="1"/>
    </xf>
    <xf numFmtId="0" fontId="4" fillId="9" borderId="22" xfId="0"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50" fillId="9" borderId="10" xfId="0" applyFont="1" applyFill="1" applyBorder="1" applyAlignment="1">
      <alignment horizontal="left" vertical="center" wrapText="1"/>
    </xf>
    <xf numFmtId="0" fontId="50" fillId="9" borderId="5" xfId="0" applyFont="1" applyFill="1" applyBorder="1" applyAlignment="1">
      <alignment horizontal="left" vertical="center" wrapText="1"/>
    </xf>
    <xf numFmtId="0" fontId="50" fillId="9" borderId="6" xfId="0" applyFont="1" applyFill="1" applyBorder="1" applyAlignment="1">
      <alignment horizontal="left" vertical="center" wrapText="1"/>
    </xf>
    <xf numFmtId="0" fontId="0" fillId="11" borderId="10" xfId="0" applyNumberFormat="1" applyFont="1" applyFill="1" applyBorder="1" applyAlignment="1" applyProtection="1">
      <alignment horizontal="left" wrapText="1"/>
      <protection locked="0"/>
    </xf>
    <xf numFmtId="0" fontId="0" fillId="11" borderId="5" xfId="0" applyNumberFormat="1" applyFont="1" applyFill="1" applyBorder="1" applyAlignment="1" applyProtection="1">
      <alignment horizontal="left" wrapText="1"/>
      <protection locked="0"/>
    </xf>
    <xf numFmtId="0" fontId="0" fillId="11" borderId="6" xfId="0" applyNumberFormat="1" applyFont="1" applyFill="1" applyBorder="1" applyAlignment="1" applyProtection="1">
      <alignment horizontal="left" wrapText="1"/>
      <protection locked="0"/>
    </xf>
    <xf numFmtId="0" fontId="50" fillId="9" borderId="10" xfId="0" applyFont="1" applyFill="1" applyBorder="1" applyAlignment="1">
      <alignment vertical="center" wrapText="1"/>
    </xf>
    <xf numFmtId="0" fontId="50" fillId="9" borderId="5" xfId="0" applyFont="1" applyFill="1" applyBorder="1" applyAlignment="1">
      <alignment vertical="center" wrapText="1"/>
    </xf>
    <xf numFmtId="0" fontId="50" fillId="9" borderId="6" xfId="0" applyFont="1" applyFill="1" applyBorder="1" applyAlignment="1">
      <alignment vertical="center" wrapText="1"/>
    </xf>
    <xf numFmtId="0" fontId="4" fillId="12" borderId="24" xfId="0" applyNumberFormat="1" applyFont="1" applyFill="1" applyBorder="1" applyAlignment="1" applyProtection="1">
      <alignment horizontal="center" vertical="center" wrapText="1"/>
      <protection locked="0"/>
    </xf>
    <xf numFmtId="0" fontId="4" fillId="12" borderId="14" xfId="0" applyNumberFormat="1" applyFont="1" applyFill="1" applyBorder="1" applyAlignment="1" applyProtection="1">
      <alignment horizontal="center" vertical="center" wrapText="1"/>
      <protection locked="0"/>
    </xf>
    <xf numFmtId="0" fontId="4" fillId="12" borderId="60" xfId="0" applyNumberFormat="1" applyFont="1" applyFill="1" applyBorder="1" applyAlignment="1" applyProtection="1">
      <alignment horizontal="center" vertical="center" wrapText="1"/>
      <protection locked="0"/>
    </xf>
    <xf numFmtId="0" fontId="4" fillId="9" borderId="0" xfId="0" applyFont="1" applyFill="1" applyAlignment="1"/>
    <xf numFmtId="0" fontId="4" fillId="12" borderId="6" xfId="0" applyNumberFormat="1" applyFont="1" applyFill="1" applyBorder="1" applyAlignment="1" applyProtection="1">
      <alignment horizontal="center" vertical="center" wrapText="1"/>
      <protection locked="0"/>
    </xf>
    <xf numFmtId="0" fontId="4" fillId="12" borderId="44" xfId="0" applyNumberFormat="1" applyFont="1" applyFill="1" applyBorder="1" applyAlignment="1" applyProtection="1">
      <alignment horizontal="center" vertical="center" wrapText="1"/>
      <protection locked="0"/>
    </xf>
    <xf numFmtId="0" fontId="4" fillId="12" borderId="19" xfId="0" applyNumberFormat="1" applyFont="1" applyFill="1" applyBorder="1" applyAlignment="1" applyProtection="1">
      <alignment horizontal="center" vertical="center" wrapText="1"/>
      <protection locked="0"/>
    </xf>
    <xf numFmtId="0" fontId="4" fillId="12" borderId="20" xfId="0" applyNumberFormat="1" applyFont="1" applyFill="1" applyBorder="1" applyAlignment="1" applyProtection="1">
      <alignment horizontal="center" vertical="center" wrapText="1"/>
      <protection locked="0"/>
    </xf>
    <xf numFmtId="0" fontId="26" fillId="10" borderId="44" xfId="0" applyFont="1" applyFill="1" applyBorder="1" applyAlignment="1" applyProtection="1">
      <alignment horizontal="center" vertical="center"/>
    </xf>
    <xf numFmtId="0" fontId="26" fillId="10" borderId="19" xfId="0" applyFont="1" applyFill="1" applyBorder="1" applyAlignment="1" applyProtection="1">
      <alignment horizontal="center" vertical="center"/>
    </xf>
    <xf numFmtId="0" fontId="26" fillId="10" borderId="20" xfId="0" applyFont="1" applyFill="1" applyBorder="1" applyAlignment="1" applyProtection="1">
      <alignment horizontal="center" vertical="center"/>
    </xf>
    <xf numFmtId="0" fontId="25" fillId="11" borderId="44" xfId="0" applyFont="1" applyFill="1" applyBorder="1" applyAlignment="1" applyProtection="1">
      <alignment horizontal="left" vertical="top"/>
      <protection locked="0"/>
    </xf>
    <xf numFmtId="0" fontId="25" fillId="11" borderId="19" xfId="0" applyFont="1" applyFill="1" applyBorder="1" applyAlignment="1" applyProtection="1">
      <alignment horizontal="left" vertical="top"/>
      <protection locked="0"/>
    </xf>
    <xf numFmtId="0" fontId="25" fillId="11" borderId="20" xfId="0" applyFont="1" applyFill="1" applyBorder="1" applyAlignment="1" applyProtection="1">
      <alignment horizontal="left" vertical="top"/>
      <protection locked="0"/>
    </xf>
    <xf numFmtId="0" fontId="3" fillId="9" borderId="61" xfId="0" applyFont="1" applyFill="1" applyBorder="1" applyAlignment="1">
      <alignment wrapText="1"/>
    </xf>
    <xf numFmtId="0" fontId="3" fillId="9" borderId="0" xfId="0" applyFont="1" applyFill="1" applyBorder="1" applyAlignment="1">
      <alignment wrapText="1"/>
    </xf>
    <xf numFmtId="0" fontId="3" fillId="9" borderId="9" xfId="0" applyFont="1" applyFill="1" applyBorder="1" applyAlignment="1">
      <alignment wrapText="1"/>
    </xf>
    <xf numFmtId="0" fontId="76" fillId="13" borderId="62" xfId="0" applyNumberFormat="1" applyFont="1" applyFill="1" applyBorder="1" applyAlignment="1">
      <alignment horizontal="right"/>
    </xf>
    <xf numFmtId="0" fontId="76" fillId="13" borderId="14" xfId="0" applyNumberFormat="1" applyFont="1" applyFill="1" applyBorder="1" applyAlignment="1">
      <alignment horizontal="right"/>
    </xf>
    <xf numFmtId="0" fontId="76" fillId="13" borderId="44" xfId="0" applyNumberFormat="1" applyFont="1" applyFill="1" applyBorder="1" applyAlignment="1">
      <alignment horizontal="right"/>
    </xf>
    <xf numFmtId="0" fontId="76" fillId="13" borderId="19" xfId="0" applyNumberFormat="1" applyFont="1" applyFill="1" applyBorder="1" applyAlignment="1">
      <alignment horizontal="right"/>
    </xf>
    <xf numFmtId="0" fontId="6" fillId="11" borderId="10" xfId="0" applyNumberFormat="1" applyFont="1" applyFill="1" applyBorder="1" applyAlignment="1" applyProtection="1">
      <alignment horizontal="left" wrapText="1"/>
      <protection locked="0"/>
    </xf>
    <xf numFmtId="0" fontId="6" fillId="11" borderId="5" xfId="0" applyNumberFormat="1" applyFont="1" applyFill="1" applyBorder="1" applyAlignment="1" applyProtection="1">
      <alignment horizontal="left" wrapText="1"/>
      <protection locked="0"/>
    </xf>
    <xf numFmtId="0" fontId="6" fillId="11" borderId="6" xfId="0" applyNumberFormat="1" applyFont="1" applyFill="1" applyBorder="1" applyAlignment="1" applyProtection="1">
      <alignment horizontal="left" wrapText="1"/>
      <protection locked="0"/>
    </xf>
    <xf numFmtId="0" fontId="0" fillId="11" borderId="10" xfId="0" applyNumberFormat="1" applyFill="1" applyBorder="1" applyAlignment="1" applyProtection="1">
      <alignment wrapText="1"/>
      <protection locked="0"/>
    </xf>
    <xf numFmtId="0" fontId="0" fillId="11" borderId="5" xfId="0" applyNumberFormat="1" applyFill="1" applyBorder="1" applyAlignment="1" applyProtection="1">
      <alignment wrapText="1"/>
      <protection locked="0"/>
    </xf>
    <xf numFmtId="0" fontId="0" fillId="11" borderId="6" xfId="0" applyNumberFormat="1" applyFill="1" applyBorder="1" applyAlignment="1" applyProtection="1">
      <alignment wrapText="1"/>
      <protection locked="0"/>
    </xf>
    <xf numFmtId="0" fontId="3" fillId="11" borderId="10" xfId="0" applyNumberFormat="1" applyFont="1" applyFill="1" applyBorder="1" applyAlignment="1" applyProtection="1">
      <alignment wrapText="1"/>
      <protection locked="0"/>
    </xf>
    <xf numFmtId="0" fontId="3" fillId="11" borderId="5" xfId="0" applyNumberFormat="1" applyFont="1" applyFill="1" applyBorder="1" applyAlignment="1" applyProtection="1">
      <alignment wrapText="1"/>
      <protection locked="0"/>
    </xf>
    <xf numFmtId="0" fontId="3" fillId="11" borderId="6" xfId="0" applyNumberFormat="1" applyFont="1" applyFill="1" applyBorder="1" applyAlignment="1" applyProtection="1">
      <alignment wrapText="1"/>
      <protection locked="0"/>
    </xf>
    <xf numFmtId="164" fontId="6" fillId="12" borderId="10" xfId="0" applyNumberFormat="1" applyFont="1" applyFill="1" applyBorder="1" applyAlignment="1" applyProtection="1">
      <alignment wrapText="1"/>
      <protection locked="0"/>
    </xf>
    <xf numFmtId="164" fontId="6" fillId="12" borderId="5" xfId="0" applyNumberFormat="1" applyFont="1" applyFill="1" applyBorder="1" applyAlignment="1" applyProtection="1">
      <alignment wrapText="1"/>
      <protection locked="0"/>
    </xf>
    <xf numFmtId="164" fontId="6" fillId="12" borderId="6" xfId="0" applyNumberFormat="1" applyFont="1" applyFill="1" applyBorder="1" applyAlignment="1" applyProtection="1">
      <alignment wrapText="1"/>
      <protection locked="0"/>
    </xf>
    <xf numFmtId="0" fontId="3" fillId="9" borderId="44" xfId="0" applyNumberFormat="1" applyFont="1" applyFill="1" applyBorder="1" applyAlignment="1">
      <alignment horizontal="left"/>
    </xf>
    <xf numFmtId="0" fontId="3" fillId="9" borderId="19" xfId="0" applyNumberFormat="1" applyFont="1" applyFill="1" applyBorder="1" applyAlignment="1">
      <alignment horizontal="left"/>
    </xf>
    <xf numFmtId="0" fontId="3" fillId="9" borderId="20" xfId="0" applyNumberFormat="1" applyFont="1" applyFill="1" applyBorder="1" applyAlignment="1">
      <alignment horizontal="left"/>
    </xf>
    <xf numFmtId="0" fontId="25" fillId="11" borderId="44" xfId="0" applyNumberFormat="1" applyFont="1" applyFill="1" applyBorder="1" applyAlignment="1" applyProtection="1">
      <alignment horizontal="left"/>
      <protection locked="0"/>
    </xf>
    <xf numFmtId="0" fontId="25" fillId="11" borderId="19" xfId="0" applyNumberFormat="1" applyFont="1" applyFill="1" applyBorder="1" applyAlignment="1" applyProtection="1">
      <alignment horizontal="left"/>
      <protection locked="0"/>
    </xf>
    <xf numFmtId="0" fontId="25" fillId="11" borderId="63" xfId="0" applyNumberFormat="1" applyFont="1" applyFill="1" applyBorder="1" applyAlignment="1" applyProtection="1">
      <alignment horizontal="left"/>
      <protection locked="0"/>
    </xf>
    <xf numFmtId="1" fontId="6" fillId="11" borderId="10" xfId="0" applyNumberFormat="1" applyFont="1" applyFill="1" applyBorder="1" applyAlignment="1" applyProtection="1">
      <alignment horizontal="left" wrapText="1"/>
      <protection locked="0"/>
    </xf>
    <xf numFmtId="1" fontId="6" fillId="11" borderId="5" xfId="0" applyNumberFormat="1" applyFont="1" applyFill="1" applyBorder="1" applyAlignment="1" applyProtection="1">
      <alignment horizontal="left" wrapText="1"/>
      <protection locked="0"/>
    </xf>
    <xf numFmtId="1" fontId="6" fillId="11" borderId="6" xfId="0" applyNumberFormat="1" applyFont="1" applyFill="1" applyBorder="1" applyAlignment="1" applyProtection="1">
      <alignment horizontal="left" wrapText="1"/>
      <protection locked="0"/>
    </xf>
    <xf numFmtId="49" fontId="6" fillId="11" borderId="10" xfId="0" applyNumberFormat="1" applyFont="1" applyFill="1" applyBorder="1" applyAlignment="1" applyProtection="1">
      <alignment horizontal="left" wrapText="1"/>
      <protection locked="0"/>
    </xf>
    <xf numFmtId="49" fontId="6" fillId="11" borderId="5" xfId="0" applyNumberFormat="1" applyFont="1" applyFill="1" applyBorder="1" applyAlignment="1" applyProtection="1">
      <alignment horizontal="left" wrapText="1"/>
      <protection locked="0"/>
    </xf>
    <xf numFmtId="49" fontId="6" fillId="11" borderId="6" xfId="0" applyNumberFormat="1" applyFont="1" applyFill="1" applyBorder="1" applyAlignment="1" applyProtection="1">
      <alignment horizontal="left" wrapText="1"/>
      <protection locked="0"/>
    </xf>
    <xf numFmtId="0" fontId="25" fillId="11" borderId="40" xfId="0" applyFont="1" applyFill="1" applyBorder="1" applyAlignment="1" applyProtection="1">
      <alignment horizontal="left" vertical="top" wrapText="1"/>
      <protection locked="0"/>
    </xf>
    <xf numFmtId="0" fontId="25" fillId="11" borderId="44" xfId="0" applyFont="1" applyFill="1" applyBorder="1" applyAlignment="1" applyProtection="1">
      <alignment horizontal="center" vertical="center"/>
      <protection locked="0"/>
    </xf>
    <xf numFmtId="0" fontId="25" fillId="11" borderId="19" xfId="0" applyFont="1" applyFill="1" applyBorder="1" applyAlignment="1" applyProtection="1">
      <alignment horizontal="center" vertical="center"/>
      <protection locked="0"/>
    </xf>
    <xf numFmtId="0" fontId="25" fillId="11" borderId="20" xfId="0" applyFont="1" applyFill="1" applyBorder="1" applyAlignment="1" applyProtection="1">
      <alignment horizontal="center" vertical="center"/>
      <protection locked="0"/>
    </xf>
    <xf numFmtId="0" fontId="17" fillId="9" borderId="12" xfId="0" applyFont="1" applyFill="1" applyBorder="1" applyAlignment="1">
      <alignment wrapText="1"/>
    </xf>
    <xf numFmtId="0" fontId="4" fillId="12" borderId="40" xfId="0" applyNumberFormat="1" applyFont="1" applyFill="1" applyBorder="1" applyAlignment="1" applyProtection="1">
      <alignment horizontal="center" vertical="center" wrapText="1"/>
      <protection locked="0"/>
    </xf>
    <xf numFmtId="2" fontId="0" fillId="11" borderId="10" xfId="0" applyNumberFormat="1" applyFill="1" applyBorder="1" applyAlignment="1" applyProtection="1">
      <alignment horizontal="center" wrapText="1"/>
      <protection locked="0"/>
    </xf>
    <xf numFmtId="2" fontId="0" fillId="11" borderId="5" xfId="0" applyNumberFormat="1" applyFill="1" applyBorder="1" applyAlignment="1" applyProtection="1">
      <alignment horizontal="center" wrapText="1"/>
      <protection locked="0"/>
    </xf>
    <xf numFmtId="2" fontId="0" fillId="11" borderId="6" xfId="0" applyNumberFormat="1" applyFill="1" applyBorder="1" applyAlignment="1" applyProtection="1">
      <alignment horizontal="center" wrapText="1"/>
      <protection locked="0"/>
    </xf>
    <xf numFmtId="0" fontId="25" fillId="10" borderId="62"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38"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3" fillId="12" borderId="10" xfId="0" applyNumberFormat="1" applyFont="1" applyFill="1" applyBorder="1" applyAlignment="1" applyProtection="1">
      <alignment horizontal="right" wrapText="1"/>
      <protection locked="0"/>
    </xf>
    <xf numFmtId="0" fontId="3" fillId="12" borderId="5" xfId="0" applyNumberFormat="1" applyFont="1" applyFill="1" applyBorder="1" applyAlignment="1" applyProtection="1">
      <alignment horizontal="right" wrapText="1"/>
      <protection locked="0"/>
    </xf>
    <xf numFmtId="0" fontId="76" fillId="13" borderId="14" xfId="0" applyFont="1" applyFill="1" applyBorder="1" applyAlignment="1">
      <alignment horizontal="center" wrapText="1"/>
    </xf>
    <xf numFmtId="0" fontId="76" fillId="13" borderId="60" xfId="0" applyFont="1" applyFill="1" applyBorder="1" applyAlignment="1">
      <alignment horizontal="center" wrapText="1"/>
    </xf>
    <xf numFmtId="0" fontId="5" fillId="10" borderId="64" xfId="0" applyNumberFormat="1" applyFont="1" applyFill="1" applyBorder="1" applyAlignment="1">
      <alignment horizontal="center" wrapText="1"/>
    </xf>
    <xf numFmtId="0" fontId="5" fillId="10" borderId="50" xfId="0" applyNumberFormat="1" applyFont="1" applyFill="1" applyBorder="1" applyAlignment="1">
      <alignment horizontal="center" wrapText="1"/>
    </xf>
    <xf numFmtId="0" fontId="5" fillId="10" borderId="65" xfId="0" applyNumberFormat="1" applyFont="1" applyFill="1" applyBorder="1" applyAlignment="1">
      <alignment horizontal="center" wrapText="1"/>
    </xf>
    <xf numFmtId="0" fontId="27" fillId="9" borderId="0" xfId="0" applyFont="1" applyFill="1" applyAlignment="1">
      <alignment horizontal="center" vertical="center" wrapText="1"/>
    </xf>
    <xf numFmtId="0" fontId="46" fillId="9" borderId="0" xfId="0" applyFont="1" applyFill="1" applyBorder="1" applyAlignment="1">
      <alignment horizontal="center"/>
    </xf>
    <xf numFmtId="0" fontId="3" fillId="11" borderId="10" xfId="0" applyNumberFormat="1" applyFont="1" applyFill="1" applyBorder="1" applyAlignment="1" applyProtection="1">
      <alignment horizontal="left" wrapText="1"/>
      <protection locked="0"/>
    </xf>
    <xf numFmtId="0" fontId="3" fillId="11" borderId="5" xfId="0" applyNumberFormat="1" applyFont="1" applyFill="1" applyBorder="1" applyAlignment="1" applyProtection="1">
      <alignment horizontal="left" wrapText="1"/>
      <protection locked="0"/>
    </xf>
    <xf numFmtId="0" fontId="3" fillId="11" borderId="6" xfId="0" applyNumberFormat="1" applyFont="1" applyFill="1" applyBorder="1" applyAlignment="1" applyProtection="1">
      <alignment horizontal="left" wrapText="1"/>
      <protection locked="0"/>
    </xf>
    <xf numFmtId="1" fontId="0" fillId="11" borderId="35" xfId="0" applyNumberFormat="1" applyFill="1" applyBorder="1" applyAlignment="1" applyProtection="1">
      <alignment horizontal="left" vertical="center" wrapText="1"/>
      <protection locked="0"/>
    </xf>
    <xf numFmtId="1" fontId="0" fillId="11" borderId="1" xfId="0" applyNumberFormat="1" applyFill="1" applyBorder="1" applyAlignment="1" applyProtection="1">
      <alignment horizontal="left" vertical="center" wrapText="1"/>
      <protection locked="0"/>
    </xf>
    <xf numFmtId="1" fontId="0" fillId="11" borderId="23" xfId="0" applyNumberFormat="1" applyFill="1" applyBorder="1" applyAlignment="1" applyProtection="1">
      <alignment horizontal="left" vertical="center" wrapText="1"/>
      <protection locked="0"/>
    </xf>
    <xf numFmtId="1" fontId="0" fillId="11" borderId="22" xfId="0" applyNumberFormat="1" applyFill="1" applyBorder="1" applyAlignment="1" applyProtection="1">
      <alignment horizontal="left" vertical="center" wrapText="1"/>
      <protection locked="0"/>
    </xf>
    <xf numFmtId="1" fontId="0" fillId="11" borderId="12" xfId="0" applyNumberFormat="1" applyFill="1" applyBorder="1" applyAlignment="1" applyProtection="1">
      <alignment horizontal="left" vertical="center" wrapText="1"/>
      <protection locked="0"/>
    </xf>
    <xf numFmtId="1" fontId="0" fillId="11" borderId="11" xfId="0" applyNumberFormat="1" applyFill="1" applyBorder="1" applyAlignment="1" applyProtection="1">
      <alignment horizontal="left" vertical="center" wrapText="1"/>
      <protection locked="0"/>
    </xf>
    <xf numFmtId="1" fontId="0" fillId="11" borderId="10" xfId="0" applyNumberFormat="1" applyFill="1" applyBorder="1" applyAlignment="1" applyProtection="1">
      <alignment horizontal="left" vertical="center" wrapText="1"/>
      <protection locked="0"/>
    </xf>
    <xf numFmtId="1" fontId="0" fillId="11" borderId="5" xfId="0" applyNumberFormat="1" applyFill="1" applyBorder="1" applyAlignment="1" applyProtection="1">
      <alignment horizontal="left" vertical="center" wrapText="1"/>
      <protection locked="0"/>
    </xf>
    <xf numFmtId="1" fontId="0" fillId="11" borderId="6" xfId="0" applyNumberFormat="1" applyFill="1" applyBorder="1" applyAlignment="1" applyProtection="1">
      <alignment horizontal="left" vertical="center" wrapText="1"/>
      <protection locked="0"/>
    </xf>
    <xf numFmtId="0" fontId="76" fillId="13" borderId="19" xfId="0" applyFont="1" applyFill="1" applyBorder="1" applyAlignment="1">
      <alignment horizontal="center" wrapText="1"/>
    </xf>
    <xf numFmtId="0" fontId="76" fillId="13" borderId="63" xfId="0" applyFont="1" applyFill="1" applyBorder="1" applyAlignment="1">
      <alignment horizontal="center" wrapText="1"/>
    </xf>
    <xf numFmtId="0" fontId="3" fillId="9" borderId="10" xfId="0" applyFont="1"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164" fontId="76" fillId="11" borderId="14" xfId="0" applyNumberFormat="1" applyFont="1" applyFill="1" applyBorder="1" applyAlignment="1" applyProtection="1">
      <alignment horizontal="center"/>
      <protection locked="0"/>
    </xf>
    <xf numFmtId="164" fontId="76" fillId="11" borderId="38" xfId="0" applyNumberFormat="1" applyFont="1" applyFill="1" applyBorder="1" applyAlignment="1" applyProtection="1">
      <alignment horizontal="center"/>
      <protection locked="0"/>
    </xf>
    <xf numFmtId="0" fontId="12" fillId="9" borderId="0" xfId="0" applyFont="1" applyFill="1" applyBorder="1" applyAlignment="1">
      <alignment horizontal="left" wrapText="1"/>
    </xf>
    <xf numFmtId="0" fontId="5" fillId="9" borderId="0" xfId="0" applyFont="1" applyFill="1" applyAlignment="1" applyProtection="1">
      <alignment horizontal="center" vertical="top" wrapText="1"/>
    </xf>
    <xf numFmtId="0" fontId="9" fillId="9" borderId="0" xfId="0" applyFont="1" applyFill="1" applyBorder="1" applyAlignment="1" applyProtection="1">
      <alignment vertical="top" wrapText="1"/>
    </xf>
    <xf numFmtId="167" fontId="3" fillId="9" borderId="35" xfId="0" applyNumberFormat="1" applyFont="1" applyFill="1" applyBorder="1" applyAlignment="1" applyProtection="1">
      <alignment wrapText="1"/>
      <protection locked="0"/>
    </xf>
    <xf numFmtId="167" fontId="0" fillId="9" borderId="1" xfId="0" applyNumberFormat="1" applyFill="1" applyBorder="1" applyAlignment="1" applyProtection="1">
      <alignment wrapText="1"/>
      <protection locked="0"/>
    </xf>
    <xf numFmtId="167" fontId="0" fillId="9" borderId="23" xfId="0" applyNumberFormat="1" applyFill="1" applyBorder="1" applyAlignment="1" applyProtection="1">
      <alignment wrapText="1"/>
      <protection locked="0"/>
    </xf>
    <xf numFmtId="167" fontId="0" fillId="9" borderId="22" xfId="0" applyNumberFormat="1" applyFill="1" applyBorder="1" applyAlignment="1" applyProtection="1">
      <alignment wrapText="1"/>
      <protection locked="0"/>
    </xf>
    <xf numFmtId="167" fontId="0" fillId="9" borderId="12" xfId="0" applyNumberFormat="1" applyFill="1" applyBorder="1" applyAlignment="1" applyProtection="1">
      <alignment wrapText="1"/>
      <protection locked="0"/>
    </xf>
    <xf numFmtId="167" fontId="0" fillId="9" borderId="11" xfId="0" applyNumberFormat="1" applyFill="1" applyBorder="1" applyAlignment="1" applyProtection="1">
      <alignment wrapText="1"/>
      <protection locked="0"/>
    </xf>
    <xf numFmtId="166" fontId="6" fillId="12" borderId="44" xfId="0" applyNumberFormat="1" applyFont="1" applyFill="1" applyBorder="1" applyAlignment="1" applyProtection="1">
      <alignment horizontal="left"/>
      <protection locked="0"/>
    </xf>
    <xf numFmtId="166" fontId="6" fillId="12" borderId="19" xfId="0" applyNumberFormat="1" applyFont="1" applyFill="1" applyBorder="1" applyAlignment="1" applyProtection="1">
      <alignment horizontal="left"/>
      <protection locked="0"/>
    </xf>
    <xf numFmtId="166" fontId="6" fillId="12" borderId="13" xfId="0" applyNumberFormat="1" applyFont="1" applyFill="1" applyBorder="1" applyAlignment="1" applyProtection="1">
      <alignment horizontal="left"/>
      <protection locked="0"/>
    </xf>
    <xf numFmtId="166" fontId="0" fillId="11" borderId="10" xfId="0" applyNumberFormat="1" applyFill="1" applyBorder="1" applyAlignment="1" applyProtection="1">
      <alignment horizontal="right" wrapText="1"/>
      <protection locked="0"/>
    </xf>
    <xf numFmtId="166" fontId="0" fillId="11" borderId="5" xfId="0" applyNumberFormat="1" applyFill="1" applyBorder="1" applyAlignment="1" applyProtection="1">
      <alignment horizontal="right" wrapText="1"/>
      <protection locked="0"/>
    </xf>
    <xf numFmtId="166" fontId="25" fillId="11" borderId="44" xfId="0" applyNumberFormat="1" applyFont="1" applyFill="1" applyBorder="1" applyAlignment="1" applyProtection="1">
      <alignment horizontal="center" vertical="center"/>
      <protection locked="0"/>
    </xf>
    <xf numFmtId="166" fontId="25" fillId="11" borderId="19" xfId="0" applyNumberFormat="1" applyFont="1" applyFill="1" applyBorder="1" applyAlignment="1" applyProtection="1">
      <alignment horizontal="center" vertical="center"/>
      <protection locked="0"/>
    </xf>
    <xf numFmtId="166" fontId="25" fillId="11" borderId="20" xfId="0" applyNumberFormat="1" applyFont="1" applyFill="1" applyBorder="1" applyAlignment="1" applyProtection="1">
      <alignment horizontal="center" vertical="center"/>
      <protection locked="0"/>
    </xf>
    <xf numFmtId="0" fontId="6" fillId="9" borderId="10" xfId="0" applyFont="1" applyFill="1" applyBorder="1" applyAlignment="1">
      <alignment horizontal="right" wrapText="1"/>
    </xf>
    <xf numFmtId="0" fontId="6" fillId="9" borderId="5" xfId="0" applyFont="1" applyFill="1" applyBorder="1" applyAlignment="1">
      <alignment horizontal="right" wrapText="1"/>
    </xf>
    <xf numFmtId="0" fontId="6" fillId="9" borderId="6" xfId="0" applyFont="1" applyFill="1" applyBorder="1" applyAlignment="1">
      <alignment horizontal="right" wrapText="1"/>
    </xf>
    <xf numFmtId="0" fontId="25" fillId="9" borderId="44" xfId="0" applyFont="1" applyFill="1" applyBorder="1" applyAlignment="1">
      <alignment horizontal="left"/>
    </xf>
    <xf numFmtId="0" fontId="25" fillId="9" borderId="19" xfId="0" applyFont="1" applyFill="1" applyBorder="1" applyAlignment="1">
      <alignment horizontal="left"/>
    </xf>
    <xf numFmtId="0" fontId="25" fillId="9" borderId="20" xfId="0" applyFont="1" applyFill="1" applyBorder="1" applyAlignment="1">
      <alignment horizontal="left"/>
    </xf>
    <xf numFmtId="0" fontId="3" fillId="9" borderId="10" xfId="0" applyFont="1" applyFill="1" applyBorder="1" applyAlignment="1">
      <alignment horizontal="right"/>
    </xf>
    <xf numFmtId="0" fontId="3" fillId="9" borderId="5" xfId="0" applyFont="1" applyFill="1" applyBorder="1" applyAlignment="1">
      <alignment horizontal="right"/>
    </xf>
    <xf numFmtId="0" fontId="3" fillId="9" borderId="6" xfId="0" applyFont="1" applyFill="1" applyBorder="1" applyAlignment="1">
      <alignment horizontal="right"/>
    </xf>
    <xf numFmtId="164" fontId="76" fillId="11" borderId="19" xfId="0" applyNumberFormat="1" applyFont="1" applyFill="1" applyBorder="1" applyAlignment="1" applyProtection="1">
      <alignment horizontal="center"/>
      <protection locked="0"/>
    </xf>
    <xf numFmtId="164" fontId="76" fillId="11" borderId="20" xfId="0" applyNumberFormat="1" applyFont="1" applyFill="1" applyBorder="1" applyAlignment="1" applyProtection="1">
      <alignment horizontal="center"/>
      <protection locked="0"/>
    </xf>
    <xf numFmtId="166" fontId="6" fillId="12" borderId="20" xfId="0" applyNumberFormat="1" applyFont="1" applyFill="1" applyBorder="1" applyAlignment="1" applyProtection="1">
      <alignment horizontal="left"/>
      <protection locked="0"/>
    </xf>
    <xf numFmtId="0" fontId="27" fillId="9" borderId="0" xfId="0" applyNumberFormat="1" applyFont="1" applyFill="1" applyBorder="1" applyAlignment="1" applyProtection="1">
      <alignment horizontal="center"/>
      <protection locked="0"/>
    </xf>
    <xf numFmtId="0" fontId="3" fillId="9" borderId="66" xfId="0" applyFont="1" applyFill="1" applyBorder="1" applyAlignment="1">
      <alignment horizontal="left" vertical="center" wrapText="1"/>
    </xf>
    <xf numFmtId="0" fontId="3" fillId="9" borderId="67" xfId="0" applyFont="1" applyFill="1" applyBorder="1" applyAlignment="1">
      <alignment horizontal="left" vertical="center" wrapText="1"/>
    </xf>
    <xf numFmtId="0" fontId="3" fillId="9" borderId="0" xfId="0" applyFont="1" applyFill="1" applyAlignment="1">
      <alignment wrapText="1"/>
    </xf>
    <xf numFmtId="0" fontId="0" fillId="9" borderId="0" xfId="0" applyFill="1" applyAlignment="1">
      <alignment wrapText="1"/>
    </xf>
    <xf numFmtId="0" fontId="3" fillId="11" borderId="35" xfId="0" applyNumberFormat="1" applyFont="1" applyFill="1" applyBorder="1" applyAlignment="1" applyProtection="1">
      <alignment horizontal="left" vertical="center" wrapText="1"/>
      <protection locked="0"/>
    </xf>
    <xf numFmtId="0" fontId="3" fillId="11" borderId="1" xfId="0" applyNumberFormat="1" applyFont="1" applyFill="1" applyBorder="1" applyAlignment="1" applyProtection="1">
      <alignment horizontal="left" vertical="center" wrapText="1"/>
      <protection locked="0"/>
    </xf>
    <xf numFmtId="0" fontId="3" fillId="11" borderId="23" xfId="0" applyNumberFormat="1" applyFont="1" applyFill="1" applyBorder="1" applyAlignment="1" applyProtection="1">
      <alignment horizontal="left" vertical="center" wrapText="1"/>
      <protection locked="0"/>
    </xf>
    <xf numFmtId="0" fontId="3" fillId="11" borderId="22" xfId="0" applyNumberFormat="1" applyFont="1" applyFill="1" applyBorder="1" applyAlignment="1" applyProtection="1">
      <alignment horizontal="left" vertical="center" wrapText="1"/>
      <protection locked="0"/>
    </xf>
    <xf numFmtId="0" fontId="3" fillId="11" borderId="12" xfId="0" applyNumberFormat="1" applyFont="1" applyFill="1" applyBorder="1" applyAlignment="1" applyProtection="1">
      <alignment horizontal="left" vertical="center" wrapText="1"/>
      <protection locked="0"/>
    </xf>
    <xf numFmtId="0" fontId="3" fillId="11" borderId="11" xfId="0" applyNumberFormat="1" applyFont="1" applyFill="1" applyBorder="1" applyAlignment="1" applyProtection="1">
      <alignment horizontal="left" vertical="center" wrapText="1"/>
      <protection locked="0"/>
    </xf>
    <xf numFmtId="0" fontId="15" fillId="17" borderId="0" xfId="0" applyFont="1" applyFill="1" applyAlignment="1">
      <alignment wrapText="1"/>
    </xf>
    <xf numFmtId="0" fontId="3" fillId="10" borderId="62" xfId="0" applyFont="1" applyFill="1" applyBorder="1"/>
    <xf numFmtId="0" fontId="3" fillId="10" borderId="14" xfId="0" applyFont="1" applyFill="1" applyBorder="1"/>
    <xf numFmtId="0" fontId="3" fillId="10" borderId="38" xfId="0" applyFont="1" applyFill="1" applyBorder="1"/>
    <xf numFmtId="0" fontId="3" fillId="10" borderId="17" xfId="0" applyFont="1" applyFill="1" applyBorder="1"/>
    <xf numFmtId="0" fontId="0" fillId="10" borderId="18" xfId="0" applyFill="1" applyBorder="1"/>
    <xf numFmtId="0" fontId="0" fillId="10" borderId="13" xfId="0" applyFill="1" applyBorder="1"/>
    <xf numFmtId="0" fontId="33" fillId="17" borderId="0" xfId="0" applyFont="1" applyFill="1" applyAlignment="1" applyProtection="1"/>
    <xf numFmtId="0" fontId="26" fillId="10" borderId="62" xfId="0" applyFont="1" applyFill="1" applyBorder="1" applyAlignment="1">
      <alignment horizontal="left" vertical="center" wrapText="1"/>
    </xf>
    <xf numFmtId="0" fontId="26" fillId="10" borderId="14" xfId="0" applyFont="1" applyFill="1" applyBorder="1" applyAlignment="1">
      <alignment horizontal="left" vertical="center" wrapText="1"/>
    </xf>
    <xf numFmtId="0" fontId="26" fillId="10" borderId="38" xfId="0" applyFont="1" applyFill="1" applyBorder="1" applyAlignment="1">
      <alignment horizontal="left" vertical="center" wrapText="1"/>
    </xf>
    <xf numFmtId="0" fontId="26" fillId="10" borderId="17" xfId="0" applyFont="1" applyFill="1" applyBorder="1" applyAlignment="1">
      <alignment horizontal="left" vertical="center" wrapText="1"/>
    </xf>
    <xf numFmtId="0" fontId="26" fillId="10" borderId="18" xfId="0" applyFont="1" applyFill="1" applyBorder="1" applyAlignment="1">
      <alignment horizontal="left" vertical="center" wrapText="1"/>
    </xf>
    <xf numFmtId="0" fontId="26" fillId="10" borderId="13" xfId="0" applyFont="1" applyFill="1" applyBorder="1" applyAlignment="1">
      <alignment horizontal="left" vertical="center" wrapText="1"/>
    </xf>
    <xf numFmtId="0" fontId="26" fillId="10" borderId="62" xfId="0" applyFont="1" applyFill="1" applyBorder="1" applyAlignment="1">
      <alignment horizontal="center" wrapText="1"/>
    </xf>
    <xf numFmtId="0" fontId="26" fillId="10" borderId="14" xfId="0" applyFont="1" applyFill="1" applyBorder="1" applyAlignment="1">
      <alignment horizontal="center" wrapText="1"/>
    </xf>
    <xf numFmtId="0" fontId="26" fillId="10" borderId="17" xfId="0" applyFont="1" applyFill="1" applyBorder="1" applyAlignment="1">
      <alignment horizontal="center" wrapText="1"/>
    </xf>
    <xf numFmtId="0" fontId="26" fillId="10" borderId="18" xfId="0" applyFont="1" applyFill="1" applyBorder="1" applyAlignment="1">
      <alignment horizontal="center" wrapText="1"/>
    </xf>
    <xf numFmtId="0" fontId="4" fillId="9" borderId="12" xfId="0" applyFont="1" applyFill="1" applyBorder="1" applyAlignment="1">
      <alignment horizontal="left" vertical="center" wrapText="1"/>
    </xf>
    <xf numFmtId="0" fontId="26" fillId="10" borderId="38" xfId="0" applyFont="1" applyFill="1" applyBorder="1" applyAlignment="1">
      <alignment horizontal="center" wrapText="1"/>
    </xf>
    <xf numFmtId="0" fontId="26" fillId="10" borderId="13" xfId="0" applyFont="1" applyFill="1" applyBorder="1" applyAlignment="1">
      <alignment horizontal="center" wrapText="1"/>
    </xf>
    <xf numFmtId="9" fontId="23" fillId="9" borderId="2" xfId="0" applyNumberFormat="1" applyFont="1" applyFill="1" applyBorder="1" applyAlignment="1" applyProtection="1">
      <alignment horizontal="center"/>
    </xf>
    <xf numFmtId="9" fontId="23" fillId="9" borderId="0" xfId="0" applyNumberFormat="1" applyFont="1" applyFill="1" applyAlignment="1" applyProtection="1">
      <alignment horizontal="center"/>
    </xf>
    <xf numFmtId="9" fontId="23" fillId="9" borderId="0" xfId="0" applyNumberFormat="1" applyFont="1" applyFill="1" applyBorder="1" applyAlignment="1" applyProtection="1">
      <alignment horizontal="center"/>
    </xf>
    <xf numFmtId="0" fontId="5" fillId="10" borderId="35" xfId="0" applyFont="1" applyFill="1" applyBorder="1" applyAlignment="1">
      <alignment horizontal="center" wrapText="1"/>
    </xf>
    <xf numFmtId="0" fontId="5" fillId="10" borderId="1" xfId="0" applyFont="1" applyFill="1" applyBorder="1" applyAlignment="1">
      <alignment horizontal="center" wrapText="1"/>
    </xf>
    <xf numFmtId="0" fontId="5" fillId="10" borderId="23" xfId="0" applyFont="1" applyFill="1" applyBorder="1" applyAlignment="1">
      <alignment horizontal="center" wrapText="1"/>
    </xf>
    <xf numFmtId="0" fontId="4" fillId="10" borderId="22" xfId="0" applyFont="1" applyFill="1" applyBorder="1" applyAlignment="1">
      <alignment horizontal="center" wrapText="1"/>
    </xf>
    <xf numFmtId="0" fontId="4" fillId="10" borderId="12" xfId="0" applyFont="1" applyFill="1" applyBorder="1" applyAlignment="1">
      <alignment horizontal="center" wrapText="1"/>
    </xf>
    <xf numFmtId="10" fontId="0" fillId="11" borderId="10" xfId="0" applyNumberFormat="1" applyFill="1" applyBorder="1" applyAlignment="1" applyProtection="1">
      <alignment wrapText="1"/>
      <protection locked="0"/>
    </xf>
    <xf numFmtId="10" fontId="0" fillId="11" borderId="5" xfId="0" applyNumberFormat="1" applyFill="1" applyBorder="1" applyAlignment="1" applyProtection="1">
      <alignment wrapText="1"/>
      <protection locked="0"/>
    </xf>
    <xf numFmtId="0" fontId="4" fillId="10" borderId="12" xfId="0" applyFont="1" applyFill="1" applyBorder="1" applyAlignment="1">
      <alignment horizontal="left" wrapText="1"/>
    </xf>
    <xf numFmtId="0" fontId="4" fillId="10" borderId="11" xfId="0" applyFont="1" applyFill="1" applyBorder="1" applyAlignment="1">
      <alignment horizontal="left" wrapText="1"/>
    </xf>
    <xf numFmtId="9" fontId="23" fillId="9" borderId="2" xfId="0" applyNumberFormat="1" applyFont="1" applyFill="1" applyBorder="1" applyAlignment="1" applyProtection="1">
      <alignment horizontal="center" vertical="center"/>
    </xf>
    <xf numFmtId="9" fontId="23" fillId="9" borderId="0" xfId="0" applyNumberFormat="1" applyFont="1" applyFill="1" applyBorder="1" applyAlignment="1" applyProtection="1">
      <alignment horizontal="center" vertical="center"/>
    </xf>
    <xf numFmtId="0" fontId="76" fillId="13" borderId="18" xfId="0" applyFont="1" applyFill="1" applyBorder="1" applyAlignment="1">
      <alignment horizontal="center" wrapText="1"/>
    </xf>
    <xf numFmtId="0" fontId="76" fillId="13" borderId="68" xfId="0" applyFont="1" applyFill="1" applyBorder="1" applyAlignment="1">
      <alignment horizontal="center" wrapText="1"/>
    </xf>
    <xf numFmtId="2" fontId="0" fillId="11" borderId="10" xfId="0" applyNumberFormat="1" applyFill="1" applyBorder="1" applyAlignment="1" applyProtection="1">
      <alignment wrapText="1"/>
      <protection locked="0"/>
    </xf>
    <xf numFmtId="2" fontId="0" fillId="11" borderId="5" xfId="0" applyNumberFormat="1" applyFill="1" applyBorder="1" applyAlignment="1" applyProtection="1">
      <alignment wrapText="1"/>
      <protection locked="0"/>
    </xf>
    <xf numFmtId="2" fontId="0" fillId="11" borderId="6" xfId="0" applyNumberFormat="1" applyFill="1" applyBorder="1" applyAlignment="1" applyProtection="1">
      <alignment wrapText="1"/>
      <protection locked="0"/>
    </xf>
    <xf numFmtId="164" fontId="76" fillId="11" borderId="19" xfId="0" applyNumberFormat="1" applyFont="1" applyFill="1" applyBorder="1" applyProtection="1">
      <protection locked="0"/>
    </xf>
    <xf numFmtId="164" fontId="76" fillId="11" borderId="20" xfId="0" applyNumberFormat="1" applyFont="1" applyFill="1" applyBorder="1" applyProtection="1">
      <protection locked="0"/>
    </xf>
    <xf numFmtId="0" fontId="3" fillId="12" borderId="6" xfId="0" applyNumberFormat="1" applyFont="1" applyFill="1" applyBorder="1" applyAlignment="1" applyProtection="1">
      <alignment horizontal="right" wrapText="1"/>
      <protection locked="0"/>
    </xf>
    <xf numFmtId="166" fontId="0" fillId="11" borderId="35" xfId="0" applyNumberFormat="1" applyFill="1" applyBorder="1" applyAlignment="1" applyProtection="1">
      <alignment horizontal="right" wrapText="1"/>
      <protection locked="0"/>
    </xf>
    <xf numFmtId="166" fontId="0" fillId="11" borderId="1" xfId="0" applyNumberFormat="1" applyFill="1" applyBorder="1" applyAlignment="1" applyProtection="1">
      <alignment horizontal="right" wrapText="1"/>
      <protection locked="0"/>
    </xf>
    <xf numFmtId="9" fontId="23" fillId="9" borderId="0" xfId="0" applyNumberFormat="1" applyFont="1" applyFill="1" applyAlignment="1" applyProtection="1">
      <alignment horizontal="center" vertical="center"/>
    </xf>
    <xf numFmtId="9" fontId="23" fillId="9" borderId="39" xfId="0" applyNumberFormat="1" applyFont="1" applyFill="1" applyBorder="1" applyAlignment="1" applyProtection="1">
      <alignment horizontal="center" vertical="center"/>
    </xf>
    <xf numFmtId="0" fontId="25" fillId="9" borderId="44" xfId="0" applyFont="1" applyFill="1" applyBorder="1" applyAlignment="1" applyProtection="1">
      <alignment horizontal="center" vertical="center"/>
    </xf>
    <xf numFmtId="0" fontId="25" fillId="9" borderId="19" xfId="0" applyFont="1" applyFill="1" applyBorder="1" applyAlignment="1" applyProtection="1">
      <alignment horizontal="center" vertical="center"/>
    </xf>
    <xf numFmtId="0" fontId="25" fillId="9" borderId="20" xfId="0" applyFont="1" applyFill="1" applyBorder="1" applyAlignment="1" applyProtection="1">
      <alignment horizontal="center" vertical="center"/>
    </xf>
    <xf numFmtId="0" fontId="0" fillId="11" borderId="69" xfId="0" applyNumberFormat="1" applyFill="1" applyBorder="1" applyAlignment="1" applyProtection="1">
      <alignment horizontal="left" wrapText="1"/>
      <protection locked="0"/>
    </xf>
    <xf numFmtId="0" fontId="0" fillId="11" borderId="19" xfId="0" applyNumberFormat="1" applyFill="1" applyBorder="1" applyAlignment="1" applyProtection="1">
      <alignment horizontal="left" wrapText="1"/>
      <protection locked="0"/>
    </xf>
    <xf numFmtId="0" fontId="0" fillId="11" borderId="63" xfId="0" applyNumberFormat="1" applyFill="1" applyBorder="1" applyAlignment="1" applyProtection="1">
      <alignment horizontal="left" wrapText="1"/>
      <protection locked="0"/>
    </xf>
    <xf numFmtId="0" fontId="111" fillId="9" borderId="35" xfId="0" applyFont="1" applyFill="1" applyBorder="1" applyAlignment="1">
      <alignment horizontal="center" vertical="center" wrapText="1"/>
    </xf>
    <xf numFmtId="0" fontId="111" fillId="9" borderId="1" xfId="0" applyFont="1" applyFill="1" applyBorder="1" applyAlignment="1">
      <alignment horizontal="center" vertical="center" wrapText="1"/>
    </xf>
    <xf numFmtId="0" fontId="111" fillId="9" borderId="23" xfId="0" applyFont="1" applyFill="1" applyBorder="1" applyAlignment="1">
      <alignment horizontal="center" vertical="center" wrapText="1"/>
    </xf>
    <xf numFmtId="0" fontId="111" fillId="9" borderId="2" xfId="0" applyFont="1" applyFill="1" applyBorder="1" applyAlignment="1">
      <alignment horizontal="center" vertical="center" wrapText="1"/>
    </xf>
    <xf numFmtId="0" fontId="111" fillId="9" borderId="0" xfId="0" applyFont="1" applyFill="1" applyBorder="1" applyAlignment="1">
      <alignment horizontal="center" vertical="center" wrapText="1"/>
    </xf>
    <xf numFmtId="0" fontId="111" fillId="9" borderId="39" xfId="0" applyFont="1" applyFill="1" applyBorder="1" applyAlignment="1">
      <alignment horizontal="center" vertical="center" wrapText="1"/>
    </xf>
    <xf numFmtId="0" fontId="111" fillId="9" borderId="22" xfId="0" applyFont="1" applyFill="1" applyBorder="1" applyAlignment="1">
      <alignment horizontal="center" vertical="center" wrapText="1"/>
    </xf>
    <xf numFmtId="0" fontId="111" fillId="9" borderId="12" xfId="0" applyFont="1" applyFill="1" applyBorder="1" applyAlignment="1">
      <alignment horizontal="center" vertical="center" wrapText="1"/>
    </xf>
    <xf numFmtId="0" fontId="111" fillId="9" borderId="11" xfId="0" applyFont="1" applyFill="1" applyBorder="1" applyAlignment="1">
      <alignment horizontal="center" vertical="center" wrapText="1"/>
    </xf>
    <xf numFmtId="0" fontId="3" fillId="11" borderId="69" xfId="0" applyNumberFormat="1" applyFont="1" applyFill="1" applyBorder="1" applyAlignment="1" applyProtection="1">
      <alignment horizontal="left" wrapText="1"/>
      <protection locked="0"/>
    </xf>
    <xf numFmtId="0" fontId="26" fillId="10" borderId="44" xfId="0" applyNumberFormat="1" applyFont="1" applyFill="1" applyBorder="1" applyAlignment="1">
      <alignment horizontal="center" vertical="center" wrapText="1"/>
    </xf>
    <xf numFmtId="0" fontId="26" fillId="10" borderId="19" xfId="0" applyNumberFormat="1" applyFont="1" applyFill="1" applyBorder="1" applyAlignment="1">
      <alignment horizontal="center" vertical="center" wrapText="1"/>
    </xf>
    <xf numFmtId="0" fontId="26" fillId="10" borderId="20" xfId="0" applyNumberFormat="1"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9" borderId="2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25" fillId="9" borderId="70" xfId="0" applyFont="1" applyFill="1" applyBorder="1" applyAlignment="1" applyProtection="1">
      <alignment horizontal="left" wrapText="1"/>
      <protection locked="0"/>
    </xf>
    <xf numFmtId="0" fontId="25" fillId="9" borderId="71" xfId="0" applyFont="1" applyFill="1" applyBorder="1" applyAlignment="1" applyProtection="1">
      <alignment horizontal="left" wrapText="1"/>
      <protection locked="0"/>
    </xf>
    <xf numFmtId="0" fontId="25" fillId="9" borderId="72" xfId="0" applyFont="1" applyFill="1" applyBorder="1" applyAlignment="1" applyProtection="1">
      <alignment horizontal="left" wrapText="1"/>
      <protection locked="0"/>
    </xf>
    <xf numFmtId="0" fontId="56" fillId="12" borderId="10" xfId="0" applyNumberFormat="1" applyFont="1" applyFill="1" applyBorder="1" applyAlignment="1" applyProtection="1">
      <alignment horizontal="center" vertical="center" wrapText="1"/>
      <protection locked="0"/>
    </xf>
    <xf numFmtId="0" fontId="56" fillId="12" borderId="5" xfId="0" applyNumberFormat="1" applyFont="1" applyFill="1" applyBorder="1" applyAlignment="1" applyProtection="1">
      <alignment horizontal="center" vertical="center" wrapText="1"/>
      <protection locked="0"/>
    </xf>
    <xf numFmtId="0" fontId="56" fillId="12" borderId="6" xfId="0" applyNumberFormat="1" applyFont="1" applyFill="1" applyBorder="1" applyAlignment="1" applyProtection="1">
      <alignment horizontal="center" vertical="center" wrapText="1"/>
      <protection locked="0"/>
    </xf>
    <xf numFmtId="0" fontId="0" fillId="9" borderId="10" xfId="0" applyFill="1" applyBorder="1" applyAlignment="1">
      <alignment wrapText="1"/>
    </xf>
    <xf numFmtId="0" fontId="0" fillId="9" borderId="5" xfId="0" applyFill="1" applyBorder="1" applyAlignment="1">
      <alignment wrapText="1"/>
    </xf>
    <xf numFmtId="0" fontId="0" fillId="9" borderId="6" xfId="0" applyFill="1" applyBorder="1" applyAlignment="1">
      <alignment wrapText="1"/>
    </xf>
    <xf numFmtId="0" fontId="6" fillId="10" borderId="22"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1" xfId="0" applyFont="1" applyFill="1" applyBorder="1" applyAlignment="1">
      <alignment horizontal="center" vertical="center" wrapText="1"/>
    </xf>
    <xf numFmtId="167" fontId="1" fillId="9" borderId="0" xfId="35" applyFill="1" applyAlignment="1" applyProtection="1">
      <alignment vertical="center"/>
      <protection locked="0"/>
    </xf>
    <xf numFmtId="0" fontId="4" fillId="12" borderId="73" xfId="0" applyNumberFormat="1" applyFont="1" applyFill="1" applyBorder="1" applyAlignment="1" applyProtection="1">
      <alignment horizontal="center" vertical="center" wrapText="1"/>
      <protection locked="0"/>
    </xf>
    <xf numFmtId="0" fontId="4" fillId="10" borderId="22"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25" fillId="9" borderId="69" xfId="0" applyNumberFormat="1" applyFont="1" applyFill="1" applyBorder="1" applyAlignment="1" applyProtection="1">
      <alignment horizontal="left" wrapText="1"/>
      <protection locked="0"/>
    </xf>
    <xf numFmtId="0" fontId="25" fillId="9" borderId="19" xfId="0" applyNumberFormat="1" applyFont="1" applyFill="1" applyBorder="1" applyAlignment="1" applyProtection="1">
      <alignment horizontal="left" wrapText="1"/>
      <protection locked="0"/>
    </xf>
    <xf numFmtId="0" fontId="25" fillId="9" borderId="20" xfId="0" applyNumberFormat="1" applyFont="1" applyFill="1" applyBorder="1" applyAlignment="1" applyProtection="1">
      <alignment horizontal="left" wrapText="1"/>
      <protection locked="0"/>
    </xf>
    <xf numFmtId="0" fontId="3" fillId="11" borderId="10" xfId="0" applyFont="1" applyFill="1" applyBorder="1" applyAlignment="1" applyProtection="1">
      <alignment wrapText="1"/>
      <protection locked="0"/>
    </xf>
    <xf numFmtId="0" fontId="3" fillId="11" borderId="5" xfId="0" applyFont="1" applyFill="1" applyBorder="1" applyAlignment="1" applyProtection="1">
      <alignment wrapText="1"/>
      <protection locked="0"/>
    </xf>
    <xf numFmtId="0" fontId="3" fillId="11" borderId="6" xfId="0" applyFont="1" applyFill="1" applyBorder="1" applyAlignment="1" applyProtection="1">
      <alignment wrapText="1"/>
      <protection locked="0"/>
    </xf>
    <xf numFmtId="10" fontId="23" fillId="9" borderId="10" xfId="0" applyNumberFormat="1" applyFont="1" applyFill="1" applyBorder="1" applyAlignment="1" applyProtection="1">
      <alignment horizontal="center" wrapText="1"/>
      <protection locked="0"/>
    </xf>
    <xf numFmtId="10" fontId="23" fillId="9" borderId="5" xfId="0" applyNumberFormat="1" applyFont="1" applyFill="1" applyBorder="1" applyAlignment="1" applyProtection="1">
      <alignment horizontal="center" wrapText="1"/>
      <protection locked="0"/>
    </xf>
    <xf numFmtId="10" fontId="23" fillId="9" borderId="6" xfId="0" applyNumberFormat="1" applyFont="1" applyFill="1" applyBorder="1" applyAlignment="1" applyProtection="1">
      <alignment horizontal="center" wrapText="1"/>
      <protection locked="0"/>
    </xf>
    <xf numFmtId="10" fontId="25" fillId="9" borderId="44" xfId="0" applyNumberFormat="1" applyFont="1" applyFill="1" applyBorder="1" applyAlignment="1" applyProtection="1">
      <alignment horizontal="center"/>
      <protection locked="0"/>
    </xf>
    <xf numFmtId="10" fontId="25" fillId="9" borderId="19" xfId="0" applyNumberFormat="1" applyFont="1" applyFill="1" applyBorder="1" applyAlignment="1" applyProtection="1">
      <alignment horizontal="center"/>
      <protection locked="0"/>
    </xf>
    <xf numFmtId="10" fontId="25" fillId="9" borderId="20" xfId="0" applyNumberFormat="1" applyFont="1" applyFill="1" applyBorder="1" applyAlignment="1" applyProtection="1">
      <alignment horizontal="center"/>
      <protection locked="0"/>
    </xf>
    <xf numFmtId="0" fontId="4" fillId="0" borderId="5" xfId="0" applyFont="1" applyBorder="1" applyProtection="1"/>
    <xf numFmtId="166" fontId="4" fillId="12" borderId="44" xfId="0" applyNumberFormat="1" applyFont="1" applyFill="1" applyBorder="1" applyAlignment="1" applyProtection="1">
      <alignment horizontal="center" vertical="center"/>
      <protection locked="0"/>
    </xf>
    <xf numFmtId="166" fontId="4" fillId="12" borderId="19" xfId="0" applyNumberFormat="1" applyFont="1" applyFill="1" applyBorder="1" applyAlignment="1" applyProtection="1">
      <alignment horizontal="center" vertical="center"/>
      <protection locked="0"/>
    </xf>
    <xf numFmtId="166" fontId="4" fillId="12" borderId="20" xfId="0" applyNumberFormat="1" applyFont="1" applyFill="1" applyBorder="1" applyAlignment="1" applyProtection="1">
      <alignment horizontal="center" vertical="center"/>
      <protection locked="0"/>
    </xf>
    <xf numFmtId="0" fontId="15" fillId="17" borderId="74" xfId="0" applyFont="1" applyFill="1" applyBorder="1" applyAlignment="1">
      <alignment horizontal="left"/>
    </xf>
    <xf numFmtId="0" fontId="15" fillId="17" borderId="75" xfId="0" applyFont="1" applyFill="1" applyBorder="1" applyAlignment="1">
      <alignment horizontal="left"/>
    </xf>
    <xf numFmtId="0" fontId="15" fillId="17" borderId="76" xfId="0" applyFont="1" applyFill="1" applyBorder="1" applyAlignment="1">
      <alignment horizontal="left"/>
    </xf>
    <xf numFmtId="0" fontId="6" fillId="9" borderId="0" xfId="0" applyFont="1" applyFill="1" applyAlignment="1">
      <alignment wrapText="1"/>
    </xf>
    <xf numFmtId="0" fontId="25" fillId="18" borderId="44" xfId="0" applyFont="1" applyFill="1" applyBorder="1" applyAlignment="1" applyProtection="1">
      <alignment wrapText="1"/>
      <protection locked="0"/>
    </xf>
    <xf numFmtId="0" fontId="25" fillId="18" borderId="19" xfId="0" applyFont="1" applyFill="1" applyBorder="1" applyAlignment="1" applyProtection="1">
      <alignment wrapText="1"/>
      <protection locked="0"/>
    </xf>
    <xf numFmtId="0" fontId="25" fillId="18" borderId="20" xfId="0" applyFont="1" applyFill="1" applyBorder="1" applyAlignment="1" applyProtection="1">
      <alignment wrapText="1"/>
      <protection locked="0"/>
    </xf>
    <xf numFmtId="0" fontId="4" fillId="9" borderId="0" xfId="0" applyFont="1" applyFill="1" applyAlignment="1" applyProtection="1">
      <alignment horizontal="left"/>
    </xf>
    <xf numFmtId="164" fontId="26" fillId="12" borderId="44" xfId="0" applyNumberFormat="1" applyFont="1" applyFill="1" applyBorder="1" applyAlignment="1" applyProtection="1">
      <alignment horizontal="center" vertical="center" wrapText="1"/>
      <protection locked="0"/>
    </xf>
    <xf numFmtId="164" fontId="26" fillId="12" borderId="20" xfId="0" applyNumberFormat="1" applyFont="1" applyFill="1" applyBorder="1" applyAlignment="1" applyProtection="1">
      <alignment horizontal="center" vertical="center" wrapText="1"/>
      <protection locked="0"/>
    </xf>
    <xf numFmtId="164" fontId="3" fillId="9" borderId="0" xfId="0" applyNumberFormat="1" applyFont="1" applyFill="1" applyBorder="1" applyAlignment="1" applyProtection="1">
      <alignment horizontal="left"/>
    </xf>
    <xf numFmtId="166" fontId="5" fillId="12" borderId="44" xfId="0" applyNumberFormat="1" applyFont="1" applyFill="1" applyBorder="1" applyAlignment="1" applyProtection="1">
      <alignment horizontal="left" vertical="center"/>
      <protection locked="0"/>
    </xf>
    <xf numFmtId="166" fontId="5" fillId="12" borderId="19" xfId="0" applyNumberFormat="1" applyFont="1" applyFill="1" applyBorder="1" applyAlignment="1" applyProtection="1">
      <alignment horizontal="left" vertical="center"/>
      <protection locked="0"/>
    </xf>
    <xf numFmtId="166" fontId="5" fillId="12" borderId="20" xfId="0" applyNumberFormat="1" applyFont="1" applyFill="1" applyBorder="1" applyAlignment="1" applyProtection="1">
      <alignment horizontal="left" vertical="center"/>
      <protection locked="0"/>
    </xf>
    <xf numFmtId="0" fontId="27" fillId="9" borderId="0" xfId="0" applyNumberFormat="1" applyFont="1" applyFill="1" applyAlignment="1" applyProtection="1">
      <alignment horizontal="center"/>
    </xf>
    <xf numFmtId="0" fontId="25" fillId="9" borderId="24" xfId="0" applyNumberFormat="1" applyFont="1" applyFill="1" applyBorder="1" applyAlignment="1" applyProtection="1">
      <alignment horizontal="left" wrapText="1"/>
      <protection locked="0"/>
    </xf>
    <xf numFmtId="0" fontId="25" fillId="9" borderId="14" xfId="0" applyNumberFormat="1" applyFont="1" applyFill="1" applyBorder="1" applyAlignment="1" applyProtection="1">
      <alignment horizontal="left" wrapText="1"/>
      <protection locked="0"/>
    </xf>
    <xf numFmtId="0" fontId="25" fillId="9" borderId="38" xfId="0" applyNumberFormat="1" applyFont="1" applyFill="1" applyBorder="1" applyAlignment="1" applyProtection="1">
      <alignment horizontal="left" wrapText="1"/>
      <protection locked="0"/>
    </xf>
    <xf numFmtId="0" fontId="9" fillId="10" borderId="35"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25" fillId="9" borderId="10" xfId="0" applyNumberFormat="1" applyFont="1" applyFill="1" applyBorder="1" applyAlignment="1" applyProtection="1">
      <alignment horizontal="left" wrapText="1"/>
      <protection locked="0"/>
    </xf>
    <xf numFmtId="0" fontId="25" fillId="9" borderId="5" xfId="0" applyNumberFormat="1" applyFont="1" applyFill="1" applyBorder="1" applyAlignment="1" applyProtection="1">
      <alignment horizontal="left" wrapText="1"/>
      <protection locked="0"/>
    </xf>
    <xf numFmtId="0" fontId="25" fillId="9" borderId="6" xfId="0" applyNumberFormat="1" applyFont="1" applyFill="1" applyBorder="1" applyAlignment="1" applyProtection="1">
      <alignment horizontal="left" wrapText="1"/>
      <protection locked="0"/>
    </xf>
    <xf numFmtId="0" fontId="25" fillId="9" borderId="69" xfId="0" applyNumberFormat="1" applyFont="1" applyFill="1" applyBorder="1" applyAlignment="1" applyProtection="1">
      <alignment wrapText="1"/>
      <protection locked="0"/>
    </xf>
    <xf numFmtId="0" fontId="25" fillId="9" borderId="19" xfId="0" applyNumberFormat="1" applyFont="1" applyFill="1" applyBorder="1" applyAlignment="1" applyProtection="1">
      <alignment wrapText="1"/>
      <protection locked="0"/>
    </xf>
    <xf numFmtId="0" fontId="25" fillId="9" borderId="20" xfId="0" applyNumberFormat="1" applyFont="1" applyFill="1" applyBorder="1" applyAlignment="1" applyProtection="1">
      <alignment wrapText="1"/>
      <protection locked="0"/>
    </xf>
    <xf numFmtId="0" fontId="0" fillId="9" borderId="10" xfId="0" applyFill="1" applyBorder="1" applyAlignment="1">
      <alignment vertical="center" wrapText="1"/>
    </xf>
    <xf numFmtId="0" fontId="0" fillId="9" borderId="5" xfId="0" applyFill="1" applyBorder="1" applyAlignment="1">
      <alignment vertical="center" wrapText="1"/>
    </xf>
    <xf numFmtId="0" fontId="0" fillId="9" borderId="6" xfId="0" applyFill="1" applyBorder="1" applyAlignment="1">
      <alignment vertical="center" wrapText="1"/>
    </xf>
    <xf numFmtId="0" fontId="3" fillId="18" borderId="10" xfId="0" applyNumberFormat="1" applyFont="1" applyFill="1" applyBorder="1" applyAlignment="1" applyProtection="1">
      <alignment wrapText="1"/>
      <protection locked="0"/>
    </xf>
    <xf numFmtId="0" fontId="3" fillId="18" borderId="5" xfId="0" applyNumberFormat="1" applyFont="1" applyFill="1" applyBorder="1" applyAlignment="1" applyProtection="1">
      <alignment wrapText="1"/>
      <protection locked="0"/>
    </xf>
    <xf numFmtId="0" fontId="3" fillId="18" borderId="6" xfId="0" applyNumberFormat="1" applyFont="1" applyFill="1" applyBorder="1" applyAlignment="1" applyProtection="1">
      <alignment wrapText="1"/>
      <protection locked="0"/>
    </xf>
    <xf numFmtId="0" fontId="27" fillId="9" borderId="10" xfId="0" applyNumberFormat="1" applyFont="1" applyFill="1" applyBorder="1" applyAlignment="1" applyProtection="1">
      <alignment horizontal="center" wrapText="1"/>
      <protection locked="0"/>
    </xf>
    <xf numFmtId="0" fontId="27" fillId="9" borderId="5" xfId="0" applyNumberFormat="1" applyFont="1" applyFill="1" applyBorder="1" applyAlignment="1" applyProtection="1">
      <alignment horizontal="center" wrapText="1"/>
      <protection locked="0"/>
    </xf>
    <xf numFmtId="0" fontId="27" fillId="9" borderId="6" xfId="0" applyNumberFormat="1" applyFont="1" applyFill="1" applyBorder="1" applyAlignment="1" applyProtection="1">
      <alignment horizontal="center" wrapText="1"/>
      <protection locked="0"/>
    </xf>
    <xf numFmtId="10" fontId="25" fillId="9" borderId="10" xfId="0" applyNumberFormat="1" applyFont="1" applyFill="1" applyBorder="1" applyAlignment="1" applyProtection="1">
      <alignment horizontal="center" wrapText="1"/>
      <protection locked="0"/>
    </xf>
    <xf numFmtId="10" fontId="25" fillId="9" borderId="5" xfId="0" applyNumberFormat="1" applyFont="1" applyFill="1" applyBorder="1" applyAlignment="1" applyProtection="1">
      <alignment horizontal="center" wrapText="1"/>
      <protection locked="0"/>
    </xf>
    <xf numFmtId="10" fontId="25" fillId="9" borderId="6" xfId="0" applyNumberFormat="1" applyFont="1" applyFill="1" applyBorder="1" applyAlignment="1" applyProtection="1">
      <alignment horizontal="center" wrapText="1"/>
      <protection locked="0"/>
    </xf>
    <xf numFmtId="166" fontId="25" fillId="11" borderId="44" xfId="0" applyNumberFormat="1" applyFont="1" applyFill="1" applyBorder="1" applyAlignment="1" applyProtection="1">
      <alignment horizontal="right"/>
      <protection locked="0"/>
    </xf>
    <xf numFmtId="166" fontId="25" fillId="11" borderId="19" xfId="0" applyNumberFormat="1" applyFont="1" applyFill="1" applyBorder="1" applyAlignment="1" applyProtection="1">
      <alignment horizontal="right"/>
      <protection locked="0"/>
    </xf>
    <xf numFmtId="0" fontId="0" fillId="0" borderId="19" xfId="0" applyBorder="1" applyAlignment="1" applyProtection="1">
      <alignment horizontal="right"/>
      <protection locked="0"/>
    </xf>
    <xf numFmtId="0" fontId="0" fillId="0" borderId="20" xfId="0" applyBorder="1" applyAlignment="1" applyProtection="1">
      <alignment horizontal="right"/>
      <protection locked="0"/>
    </xf>
    <xf numFmtId="44" fontId="42" fillId="9" borderId="2" xfId="28" applyFont="1" applyFill="1" applyBorder="1" applyAlignment="1">
      <alignment horizontal="center" vertical="top" wrapText="1"/>
    </xf>
    <xf numFmtId="44" fontId="42" fillId="9" borderId="0" xfId="28" applyFont="1" applyFill="1" applyBorder="1" applyAlignment="1">
      <alignment horizontal="center" vertical="top" wrapText="1"/>
    </xf>
    <xf numFmtId="44" fontId="42" fillId="9" borderId="39" xfId="28" applyFont="1" applyFill="1" applyBorder="1" applyAlignment="1">
      <alignment horizontal="center" vertical="top" wrapText="1"/>
    </xf>
    <xf numFmtId="0" fontId="5" fillId="10" borderId="22" xfId="0" applyFont="1" applyFill="1" applyBorder="1" applyAlignment="1">
      <alignment horizontal="center" wrapText="1"/>
    </xf>
    <xf numFmtId="0" fontId="5" fillId="10" borderId="12" xfId="0" applyFont="1" applyFill="1" applyBorder="1" applyAlignment="1">
      <alignment horizontal="center" wrapText="1"/>
    </xf>
    <xf numFmtId="0" fontId="5" fillId="10" borderId="11" xfId="0" applyFont="1" applyFill="1" applyBorder="1" applyAlignment="1">
      <alignment horizontal="center" wrapText="1"/>
    </xf>
    <xf numFmtId="0" fontId="6" fillId="11" borderId="44" xfId="0" applyFont="1" applyFill="1" applyBorder="1" applyAlignment="1" applyProtection="1">
      <alignment horizontal="left" vertical="top"/>
      <protection locked="0"/>
    </xf>
    <xf numFmtId="0" fontId="6" fillId="11" borderId="19" xfId="0" applyFont="1" applyFill="1" applyBorder="1" applyAlignment="1" applyProtection="1">
      <alignment horizontal="left" vertical="top"/>
      <protection locked="0"/>
    </xf>
    <xf numFmtId="0" fontId="6" fillId="11" borderId="20" xfId="0" applyFont="1" applyFill="1" applyBorder="1" applyAlignment="1" applyProtection="1">
      <alignment horizontal="left" vertical="top"/>
      <protection locked="0"/>
    </xf>
    <xf numFmtId="0" fontId="25" fillId="11" borderId="44" xfId="0" applyNumberFormat="1" applyFont="1" applyFill="1" applyBorder="1" applyAlignment="1" applyProtection="1">
      <protection locked="0"/>
    </xf>
    <xf numFmtId="0" fontId="25" fillId="11" borderId="19" xfId="0" applyNumberFormat="1" applyFont="1" applyFill="1" applyBorder="1" applyAlignment="1" applyProtection="1">
      <protection locked="0"/>
    </xf>
    <xf numFmtId="0" fontId="25" fillId="11" borderId="20" xfId="0" applyNumberFormat="1" applyFont="1" applyFill="1" applyBorder="1" applyAlignment="1" applyProtection="1">
      <protection locked="0"/>
    </xf>
    <xf numFmtId="0" fontId="25" fillId="19" borderId="35" xfId="0" applyFont="1" applyFill="1" applyBorder="1" applyAlignment="1">
      <alignment horizontal="center" vertical="center" wrapText="1"/>
    </xf>
    <xf numFmtId="0" fontId="25" fillId="19" borderId="1" xfId="0" applyFont="1" applyFill="1" applyBorder="1" applyAlignment="1">
      <alignment horizontal="center" vertical="center" wrapText="1"/>
    </xf>
    <xf numFmtId="0" fontId="25" fillId="19" borderId="23" xfId="0" applyFont="1" applyFill="1" applyBorder="1" applyAlignment="1">
      <alignment horizontal="center" vertical="center" wrapText="1"/>
    </xf>
    <xf numFmtId="0" fontId="25" fillId="19" borderId="22" xfId="0" applyFont="1" applyFill="1" applyBorder="1" applyAlignment="1">
      <alignment horizontal="center" vertical="center" wrapText="1"/>
    </xf>
    <xf numFmtId="0" fontId="25" fillId="19" borderId="12" xfId="0" applyFont="1" applyFill="1" applyBorder="1" applyAlignment="1">
      <alignment horizontal="center" vertical="center" wrapText="1"/>
    </xf>
    <xf numFmtId="0" fontId="25" fillId="19" borderId="11" xfId="0" applyFont="1" applyFill="1" applyBorder="1" applyAlignment="1">
      <alignment horizontal="center" vertical="center" wrapText="1"/>
    </xf>
    <xf numFmtId="0" fontId="76" fillId="13" borderId="14" xfId="0" applyFont="1" applyFill="1" applyBorder="1" applyAlignment="1">
      <alignment horizontal="center" vertical="center" wrapText="1"/>
    </xf>
    <xf numFmtId="0" fontId="76" fillId="13" borderId="60" xfId="0" applyFont="1" applyFill="1" applyBorder="1" applyAlignment="1">
      <alignment horizontal="center" vertical="center" wrapText="1"/>
    </xf>
    <xf numFmtId="0" fontId="26" fillId="10" borderId="12" xfId="0" applyFont="1" applyFill="1" applyBorder="1" applyAlignment="1">
      <alignment horizontal="right" wrapText="1"/>
    </xf>
    <xf numFmtId="0" fontId="27" fillId="9" borderId="0" xfId="0" applyFont="1" applyFill="1" applyAlignment="1" applyProtection="1">
      <alignment horizontal="center" vertical="center"/>
      <protection locked="0"/>
    </xf>
    <xf numFmtId="0" fontId="3" fillId="11" borderId="10" xfId="0" applyNumberFormat="1" applyFont="1" applyFill="1" applyBorder="1" applyAlignment="1" applyProtection="1">
      <alignment horizontal="center" wrapText="1"/>
      <protection locked="0"/>
    </xf>
    <xf numFmtId="0" fontId="3" fillId="11" borderId="6" xfId="0" applyNumberFormat="1" applyFont="1" applyFill="1" applyBorder="1" applyAlignment="1" applyProtection="1">
      <alignment horizontal="center" wrapText="1"/>
      <protection locked="0"/>
    </xf>
    <xf numFmtId="0" fontId="25" fillId="11" borderId="5" xfId="0" applyNumberFormat="1" applyFont="1" applyFill="1" applyBorder="1" applyAlignment="1" applyProtection="1">
      <alignment horizontal="right" wrapText="1"/>
      <protection locked="0"/>
    </xf>
    <xf numFmtId="0" fontId="27" fillId="9" borderId="2" xfId="0" applyFont="1" applyFill="1" applyBorder="1" applyAlignment="1">
      <alignment horizontal="center" vertical="center" wrapText="1"/>
    </xf>
    <xf numFmtId="0" fontId="23" fillId="9" borderId="0"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4" fillId="10" borderId="22" xfId="0" applyFont="1" applyFill="1" applyBorder="1" applyAlignment="1">
      <alignment horizontal="right" wrapText="1"/>
    </xf>
    <xf numFmtId="0" fontId="4" fillId="10" borderId="12" xfId="0" applyFont="1" applyFill="1" applyBorder="1" applyAlignment="1">
      <alignment horizontal="right" wrapText="1"/>
    </xf>
    <xf numFmtId="0" fontId="4" fillId="0" borderId="0" xfId="0" applyFont="1" applyAlignment="1"/>
    <xf numFmtId="0" fontId="7" fillId="0" borderId="0" xfId="0" applyFont="1" applyAlignment="1">
      <alignment horizontal="right" vertical="center" wrapText="1"/>
    </xf>
    <xf numFmtId="0" fontId="7" fillId="0" borderId="39" xfId="0" applyFont="1" applyBorder="1" applyAlignment="1">
      <alignment horizontal="right" vertical="center" wrapText="1"/>
    </xf>
    <xf numFmtId="0" fontId="26" fillId="10" borderId="62"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0" borderId="17"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3" fillId="9" borderId="12" xfId="0" applyFont="1" applyFill="1" applyBorder="1" applyAlignment="1">
      <alignment horizontal="right"/>
    </xf>
    <xf numFmtId="0" fontId="5" fillId="10" borderId="42" xfId="0" applyFont="1" applyFill="1" applyBorder="1" applyAlignment="1">
      <alignment horizontal="right" wrapText="1"/>
    </xf>
    <xf numFmtId="0" fontId="5" fillId="10" borderId="5" xfId="0" applyFont="1" applyFill="1" applyBorder="1" applyAlignment="1">
      <alignment horizontal="right" wrapText="1"/>
    </xf>
    <xf numFmtId="0" fontId="76" fillId="13" borderId="17" xfId="0" applyNumberFormat="1" applyFont="1" applyFill="1" applyBorder="1" applyAlignment="1">
      <alignment horizontal="right"/>
    </xf>
    <xf numFmtId="0" fontId="76" fillId="13" borderId="18" xfId="0" applyNumberFormat="1" applyFont="1" applyFill="1" applyBorder="1" applyAlignment="1">
      <alignment horizontal="right"/>
    </xf>
    <xf numFmtId="167" fontId="4" fillId="10" borderId="12" xfId="0" applyNumberFormat="1" applyFont="1" applyFill="1" applyBorder="1" applyAlignment="1">
      <alignment horizontal="left" wrapText="1"/>
    </xf>
    <xf numFmtId="0" fontId="4" fillId="10" borderId="11" xfId="0" applyNumberFormat="1" applyFont="1" applyFill="1" applyBorder="1" applyAlignment="1">
      <alignment horizontal="left" wrapText="1"/>
    </xf>
    <xf numFmtId="2" fontId="26" fillId="13" borderId="62" xfId="0" applyNumberFormat="1" applyFont="1" applyFill="1" applyBorder="1" applyAlignment="1">
      <alignment horizontal="center" vertical="center"/>
    </xf>
    <xf numFmtId="2" fontId="26" fillId="13" borderId="14" xfId="0" applyNumberFormat="1" applyFont="1" applyFill="1" applyBorder="1" applyAlignment="1">
      <alignment horizontal="center" vertical="center"/>
    </xf>
    <xf numFmtId="2" fontId="26" fillId="13" borderId="38" xfId="0" applyNumberFormat="1" applyFont="1" applyFill="1" applyBorder="1" applyAlignment="1">
      <alignment horizontal="center" vertical="center"/>
    </xf>
    <xf numFmtId="2" fontId="26" fillId="13" borderId="17" xfId="0" applyNumberFormat="1" applyFont="1" applyFill="1" applyBorder="1" applyAlignment="1">
      <alignment horizontal="center" vertical="center"/>
    </xf>
    <xf numFmtId="2" fontId="26" fillId="13" borderId="18" xfId="0" applyNumberFormat="1" applyFont="1" applyFill="1" applyBorder="1" applyAlignment="1">
      <alignment horizontal="center" vertical="center"/>
    </xf>
    <xf numFmtId="2" fontId="26" fillId="13" borderId="13" xfId="0" applyNumberFormat="1" applyFont="1" applyFill="1" applyBorder="1" applyAlignment="1">
      <alignment horizontal="center" vertical="center"/>
    </xf>
    <xf numFmtId="169" fontId="42" fillId="11" borderId="64" xfId="0" applyNumberFormat="1" applyFont="1" applyFill="1" applyBorder="1" applyAlignment="1" applyProtection="1">
      <alignment horizontal="left"/>
      <protection locked="0"/>
    </xf>
    <xf numFmtId="169" fontId="42" fillId="11" borderId="50" xfId="0" applyNumberFormat="1" applyFont="1" applyFill="1" applyBorder="1" applyAlignment="1" applyProtection="1">
      <alignment horizontal="left"/>
      <protection locked="0"/>
    </xf>
    <xf numFmtId="169" fontId="42" fillId="11" borderId="65" xfId="0" applyNumberFormat="1" applyFont="1" applyFill="1" applyBorder="1" applyAlignment="1" applyProtection="1">
      <alignment horizontal="left"/>
      <protection locked="0"/>
    </xf>
    <xf numFmtId="0" fontId="3" fillId="10" borderId="62" xfId="0" applyFont="1" applyFill="1" applyBorder="1" applyAlignment="1">
      <alignment horizontal="right" vertical="center" wrapText="1"/>
    </xf>
    <xf numFmtId="0" fontId="3" fillId="10" borderId="14" xfId="0" applyFont="1" applyFill="1" applyBorder="1" applyAlignment="1">
      <alignment horizontal="right" vertical="center" wrapText="1"/>
    </xf>
    <xf numFmtId="0" fontId="3" fillId="10" borderId="38" xfId="0" applyFont="1" applyFill="1" applyBorder="1" applyAlignment="1">
      <alignment horizontal="right" vertical="center" wrapText="1"/>
    </xf>
    <xf numFmtId="0" fontId="6" fillId="9" borderId="61" xfId="0" applyFont="1" applyFill="1" applyBorder="1" applyAlignment="1">
      <alignment horizontal="center" wrapText="1"/>
    </xf>
    <xf numFmtId="0" fontId="6" fillId="9" borderId="0" xfId="0" applyFont="1" applyFill="1" applyBorder="1" applyAlignment="1">
      <alignment horizontal="center" wrapText="1"/>
    </xf>
    <xf numFmtId="0" fontId="6" fillId="9" borderId="77" xfId="0" applyFont="1" applyFill="1" applyBorder="1" applyAlignment="1">
      <alignment horizontal="center" wrapText="1"/>
    </xf>
    <xf numFmtId="0" fontId="6" fillId="9" borderId="12" xfId="0" applyFont="1" applyFill="1" applyBorder="1" applyAlignment="1">
      <alignment horizontal="center" wrapText="1"/>
    </xf>
    <xf numFmtId="0" fontId="5" fillId="0" borderId="3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5" fillId="9" borderId="52" xfId="0" applyFont="1" applyFill="1" applyBorder="1" applyAlignment="1" applyProtection="1">
      <alignment horizontal="left" wrapText="1"/>
      <protection locked="0"/>
    </xf>
    <xf numFmtId="0" fontId="25" fillId="9" borderId="50" xfId="0" applyFont="1" applyFill="1" applyBorder="1" applyAlignment="1" applyProtection="1">
      <alignment horizontal="left" wrapText="1"/>
      <protection locked="0"/>
    </xf>
    <xf numFmtId="0" fontId="25" fillId="9" borderId="65" xfId="0" applyFont="1" applyFill="1" applyBorder="1" applyAlignment="1" applyProtection="1">
      <alignment horizontal="left" wrapText="1"/>
      <protection locked="0"/>
    </xf>
    <xf numFmtId="0" fontId="26" fillId="12" borderId="35" xfId="0" applyNumberFormat="1" applyFont="1" applyFill="1" applyBorder="1" applyAlignment="1" applyProtection="1">
      <alignment horizontal="center" vertical="center" wrapText="1"/>
      <protection locked="0"/>
    </xf>
    <xf numFmtId="0" fontId="26" fillId="12" borderId="1" xfId="0" applyNumberFormat="1" applyFont="1" applyFill="1" applyBorder="1" applyAlignment="1" applyProtection="1">
      <alignment horizontal="center" vertical="center" wrapText="1"/>
      <protection locked="0"/>
    </xf>
    <xf numFmtId="0" fontId="26" fillId="12" borderId="23" xfId="0" applyNumberFormat="1" applyFont="1" applyFill="1" applyBorder="1" applyAlignment="1" applyProtection="1">
      <alignment horizontal="center" vertical="center" wrapText="1"/>
      <protection locked="0"/>
    </xf>
    <xf numFmtId="0" fontId="26" fillId="12" borderId="2" xfId="0" applyNumberFormat="1" applyFont="1" applyFill="1" applyBorder="1" applyAlignment="1" applyProtection="1">
      <alignment horizontal="center" vertical="center" wrapText="1"/>
      <protection locked="0"/>
    </xf>
    <xf numFmtId="0" fontId="26" fillId="12" borderId="0" xfId="0" applyNumberFormat="1" applyFont="1" applyFill="1" applyBorder="1" applyAlignment="1" applyProtection="1">
      <alignment horizontal="center" vertical="center" wrapText="1"/>
      <protection locked="0"/>
    </xf>
    <xf numFmtId="0" fontId="26" fillId="12" borderId="39" xfId="0" applyNumberFormat="1" applyFont="1" applyFill="1" applyBorder="1" applyAlignment="1" applyProtection="1">
      <alignment horizontal="center" vertical="center" wrapText="1"/>
      <protection locked="0"/>
    </xf>
    <xf numFmtId="0" fontId="26" fillId="12" borderId="22" xfId="0" applyNumberFormat="1" applyFont="1" applyFill="1" applyBorder="1" applyAlignment="1" applyProtection="1">
      <alignment horizontal="center" vertical="center" wrapText="1"/>
      <protection locked="0"/>
    </xf>
    <xf numFmtId="0" fontId="26" fillId="12" borderId="12" xfId="0" applyNumberFormat="1" applyFont="1" applyFill="1" applyBorder="1" applyAlignment="1" applyProtection="1">
      <alignment horizontal="center" vertical="center" wrapText="1"/>
      <protection locked="0"/>
    </xf>
    <xf numFmtId="0" fontId="26" fillId="12" borderId="11" xfId="0" applyNumberFormat="1" applyFont="1" applyFill="1" applyBorder="1" applyAlignment="1" applyProtection="1">
      <alignment horizontal="center" vertical="center" wrapText="1"/>
      <protection locked="0"/>
    </xf>
    <xf numFmtId="0" fontId="25" fillId="9" borderId="69" xfId="0" applyNumberFormat="1" applyFont="1" applyFill="1" applyBorder="1" applyAlignment="1" applyProtection="1">
      <alignment horizontal="center" wrapText="1"/>
    </xf>
    <xf numFmtId="0" fontId="25" fillId="9" borderId="19" xfId="0" applyNumberFormat="1" applyFont="1" applyFill="1" applyBorder="1" applyAlignment="1" applyProtection="1">
      <alignment horizontal="center" wrapText="1"/>
    </xf>
    <xf numFmtId="0" fontId="25" fillId="9" borderId="78" xfId="0" applyNumberFormat="1" applyFont="1" applyFill="1" applyBorder="1" applyAlignment="1" applyProtection="1">
      <alignment horizontal="center" wrapText="1"/>
    </xf>
    <xf numFmtId="0" fontId="3" fillId="9" borderId="39" xfId="0" applyFont="1" applyFill="1" applyBorder="1" applyAlignment="1">
      <alignment wrapText="1"/>
    </xf>
    <xf numFmtId="0" fontId="3" fillId="9" borderId="26" xfId="0" applyFont="1" applyFill="1" applyBorder="1" applyAlignment="1">
      <alignment horizontal="right" wrapText="1"/>
    </xf>
    <xf numFmtId="0" fontId="3" fillId="9" borderId="27" xfId="0" applyFont="1" applyFill="1" applyBorder="1" applyAlignment="1">
      <alignment horizontal="right" wrapText="1"/>
    </xf>
    <xf numFmtId="0" fontId="3" fillId="9" borderId="25" xfId="0" applyFont="1" applyFill="1" applyBorder="1" applyAlignment="1">
      <alignment horizontal="right" wrapText="1"/>
    </xf>
    <xf numFmtId="0" fontId="23" fillId="9" borderId="1" xfId="0" applyNumberFormat="1" applyFont="1" applyFill="1" applyBorder="1" applyAlignment="1">
      <alignment horizontal="left"/>
    </xf>
    <xf numFmtId="0" fontId="23" fillId="9" borderId="66" xfId="0" applyNumberFormat="1" applyFont="1" applyFill="1" applyBorder="1" applyAlignment="1">
      <alignment horizontal="left"/>
    </xf>
    <xf numFmtId="0" fontId="3" fillId="9" borderId="0" xfId="0" applyNumberFormat="1" applyFont="1" applyFill="1" applyBorder="1" applyAlignment="1">
      <alignment horizontal="left" vertical="center" wrapText="1"/>
    </xf>
    <xf numFmtId="0" fontId="25" fillId="9" borderId="0" xfId="0" applyFont="1" applyFill="1" applyAlignment="1" applyProtection="1">
      <alignment horizontal="left" vertical="top" wrapText="1"/>
      <protection locked="0"/>
    </xf>
    <xf numFmtId="0" fontId="0" fillId="9" borderId="35" xfId="0" applyFill="1" applyBorder="1" applyAlignment="1">
      <alignment horizontal="left" vertical="center" wrapText="1"/>
    </xf>
    <xf numFmtId="0" fontId="0" fillId="9" borderId="1" xfId="0" applyFill="1" applyBorder="1" applyAlignment="1">
      <alignment horizontal="left" vertical="center" wrapText="1"/>
    </xf>
    <xf numFmtId="0" fontId="0" fillId="9" borderId="23" xfId="0" applyFill="1" applyBorder="1" applyAlignment="1">
      <alignment horizontal="left" vertical="center" wrapText="1"/>
    </xf>
    <xf numFmtId="0" fontId="0" fillId="9" borderId="2" xfId="0" applyFill="1" applyBorder="1" applyAlignment="1">
      <alignment horizontal="left" vertical="center" wrapText="1"/>
    </xf>
    <xf numFmtId="0" fontId="0" fillId="9" borderId="0" xfId="0" applyFill="1" applyBorder="1" applyAlignment="1">
      <alignment horizontal="left" vertical="center" wrapText="1"/>
    </xf>
    <xf numFmtId="0" fontId="0" fillId="9" borderId="39" xfId="0" applyFill="1" applyBorder="1" applyAlignment="1">
      <alignment horizontal="left" vertical="center" wrapText="1"/>
    </xf>
    <xf numFmtId="0" fontId="0" fillId="9" borderId="22" xfId="0" applyFill="1" applyBorder="1" applyAlignment="1">
      <alignment horizontal="left" vertical="center" wrapText="1"/>
    </xf>
    <xf numFmtId="0" fontId="0" fillId="9" borderId="12" xfId="0" applyFill="1" applyBorder="1" applyAlignment="1">
      <alignment horizontal="left" vertical="center" wrapText="1"/>
    </xf>
    <xf numFmtId="0" fontId="0" fillId="9" borderId="11" xfId="0" applyFill="1" applyBorder="1" applyAlignment="1">
      <alignment horizontal="left" vertical="center" wrapText="1"/>
    </xf>
    <xf numFmtId="0" fontId="17" fillId="9" borderId="2" xfId="0" applyFont="1" applyFill="1" applyBorder="1" applyAlignment="1">
      <alignment horizontal="center" wrapText="1"/>
    </xf>
    <xf numFmtId="0" fontId="17" fillId="9" borderId="0" xfId="0" applyFont="1" applyFill="1" applyBorder="1" applyAlignment="1">
      <alignment horizontal="center" wrapText="1"/>
    </xf>
    <xf numFmtId="0" fontId="17" fillId="9" borderId="47" xfId="0" applyFont="1" applyFill="1" applyBorder="1" applyAlignment="1">
      <alignment horizontal="center" wrapText="1"/>
    </xf>
    <xf numFmtId="0" fontId="13" fillId="9" borderId="2" xfId="0" applyFont="1" applyFill="1" applyBorder="1" applyAlignment="1">
      <alignment horizontal="center" vertical="top" wrapText="1"/>
    </xf>
    <xf numFmtId="0" fontId="3" fillId="9" borderId="0" xfId="0" applyFont="1" applyFill="1" applyBorder="1" applyAlignment="1">
      <alignment horizontal="center" vertical="top" wrapText="1"/>
    </xf>
    <xf numFmtId="0" fontId="3" fillId="9" borderId="47" xfId="0" applyFont="1" applyFill="1" applyBorder="1" applyAlignment="1">
      <alignment horizontal="center" vertical="top" wrapText="1"/>
    </xf>
    <xf numFmtId="0" fontId="4" fillId="9" borderId="35" xfId="0" applyFont="1" applyFill="1" applyBorder="1" applyAlignment="1">
      <alignment horizontal="center" wrapText="1"/>
    </xf>
    <xf numFmtId="0" fontId="4" fillId="9" borderId="1" xfId="0" applyFont="1" applyFill="1" applyBorder="1" applyAlignment="1">
      <alignment horizontal="center" wrapText="1"/>
    </xf>
    <xf numFmtId="0" fontId="4" fillId="9" borderId="46" xfId="0" applyFont="1" applyFill="1" applyBorder="1" applyAlignment="1">
      <alignment horizontal="center" wrapText="1"/>
    </xf>
    <xf numFmtId="0" fontId="0" fillId="9" borderId="10" xfId="0" applyFill="1" applyBorder="1" applyAlignment="1"/>
    <xf numFmtId="0" fontId="0" fillId="9" borderId="5" xfId="0" applyFill="1" applyBorder="1" applyAlignment="1"/>
    <xf numFmtId="0" fontId="0" fillId="9" borderId="6" xfId="0" applyFill="1" applyBorder="1" applyAlignment="1"/>
    <xf numFmtId="0" fontId="3" fillId="11" borderId="10" xfId="0" applyNumberFormat="1" applyFont="1" applyFill="1" applyBorder="1" applyAlignment="1" applyProtection="1">
      <alignment vertical="center" wrapText="1"/>
      <protection locked="0"/>
    </xf>
    <xf numFmtId="0" fontId="0" fillId="11" borderId="5" xfId="0" applyNumberFormat="1" applyFill="1" applyBorder="1" applyAlignment="1" applyProtection="1">
      <alignment vertical="center" wrapText="1"/>
      <protection locked="0"/>
    </xf>
    <xf numFmtId="0" fontId="0" fillId="11" borderId="6" xfId="0" applyNumberFormat="1" applyFill="1" applyBorder="1" applyAlignment="1" applyProtection="1">
      <alignment vertical="center" wrapText="1"/>
      <protection locked="0"/>
    </xf>
    <xf numFmtId="0" fontId="0" fillId="9" borderId="1" xfId="0" applyFill="1" applyBorder="1" applyAlignment="1">
      <alignment wrapText="1"/>
    </xf>
    <xf numFmtId="0" fontId="7" fillId="19" borderId="35" xfId="0"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23" xfId="0" applyFont="1" applyFill="1" applyBorder="1" applyAlignment="1" applyProtection="1">
      <alignment horizontal="center" vertical="center" wrapText="1"/>
    </xf>
    <xf numFmtId="0" fontId="7" fillId="19" borderId="22" xfId="0" applyFont="1" applyFill="1" applyBorder="1" applyAlignment="1" applyProtection="1">
      <alignment horizontal="center" vertical="center" wrapText="1"/>
    </xf>
    <xf numFmtId="0" fontId="7" fillId="19" borderId="12" xfId="0" applyFont="1" applyFill="1" applyBorder="1" applyAlignment="1" applyProtection="1">
      <alignment horizontal="center" vertical="center" wrapText="1"/>
    </xf>
    <xf numFmtId="0" fontId="7" fillId="19" borderId="11" xfId="0" applyFont="1" applyFill="1" applyBorder="1" applyAlignment="1" applyProtection="1">
      <alignment horizontal="center" vertical="center" wrapText="1"/>
    </xf>
    <xf numFmtId="0" fontId="4" fillId="20" borderId="35" xfId="0" applyNumberFormat="1" applyFont="1" applyFill="1" applyBorder="1" applyAlignment="1" applyProtection="1">
      <alignment horizontal="center" vertical="center" wrapText="1"/>
    </xf>
    <xf numFmtId="0" fontId="4" fillId="20" borderId="1" xfId="0" applyNumberFormat="1" applyFont="1" applyFill="1" applyBorder="1" applyAlignment="1" applyProtection="1">
      <alignment horizontal="center" vertical="center" wrapText="1"/>
    </xf>
    <xf numFmtId="0" fontId="4" fillId="20" borderId="23" xfId="0" applyNumberFormat="1" applyFont="1" applyFill="1" applyBorder="1" applyAlignment="1" applyProtection="1">
      <alignment horizontal="center" vertical="center" wrapText="1"/>
    </xf>
    <xf numFmtId="0" fontId="4" fillId="20" borderId="22" xfId="0" applyNumberFormat="1" applyFont="1" applyFill="1" applyBorder="1" applyAlignment="1" applyProtection="1">
      <alignment horizontal="center" vertical="center" wrapText="1"/>
    </xf>
    <xf numFmtId="0" fontId="4" fillId="20" borderId="12" xfId="0" applyNumberFormat="1" applyFont="1" applyFill="1" applyBorder="1" applyAlignment="1" applyProtection="1">
      <alignment horizontal="center" vertical="center" wrapText="1"/>
    </xf>
    <xf numFmtId="0" fontId="4" fillId="20" borderId="11" xfId="0" applyNumberFormat="1" applyFont="1" applyFill="1" applyBorder="1" applyAlignment="1" applyProtection="1">
      <alignment horizontal="center" vertical="center" wrapText="1"/>
    </xf>
    <xf numFmtId="0" fontId="0" fillId="0" borderId="10" xfId="0" applyNumberFormat="1" applyFill="1" applyBorder="1" applyAlignment="1" applyProtection="1">
      <alignment horizontal="right" wrapText="1"/>
    </xf>
    <xf numFmtId="0" fontId="0" fillId="0" borderId="5" xfId="0" applyNumberFormat="1" applyFill="1" applyBorder="1" applyAlignment="1" applyProtection="1">
      <alignment horizontal="right" wrapText="1"/>
    </xf>
    <xf numFmtId="0" fontId="0" fillId="0" borderId="6" xfId="0" applyNumberFormat="1" applyFill="1" applyBorder="1" applyAlignment="1" applyProtection="1">
      <alignment horizontal="right" wrapText="1"/>
    </xf>
    <xf numFmtId="0" fontId="3" fillId="9" borderId="12" xfId="0" applyFont="1" applyFill="1" applyBorder="1" applyAlignment="1">
      <alignment horizontal="left" vertical="center"/>
    </xf>
    <xf numFmtId="168" fontId="3" fillId="0" borderId="10" xfId="0" applyNumberFormat="1" applyFont="1" applyFill="1" applyBorder="1" applyAlignment="1" applyProtection="1">
      <alignment horizontal="center" wrapText="1"/>
    </xf>
    <xf numFmtId="168" fontId="0" fillId="0" borderId="5" xfId="0" applyNumberFormat="1" applyFill="1" applyBorder="1" applyAlignment="1" applyProtection="1">
      <alignment horizontal="center" wrapText="1"/>
    </xf>
    <xf numFmtId="168" fontId="0" fillId="0" borderId="6" xfId="0" applyNumberFormat="1" applyFill="1" applyBorder="1" applyAlignment="1" applyProtection="1">
      <alignment horizontal="center" wrapText="1"/>
    </xf>
    <xf numFmtId="0" fontId="25" fillId="9" borderId="79" xfId="0" applyFont="1" applyFill="1" applyBorder="1" applyAlignment="1" applyProtection="1">
      <alignment horizontal="left" wrapText="1"/>
      <protection locked="0"/>
    </xf>
    <xf numFmtId="0" fontId="25" fillId="9" borderId="79" xfId="0" applyFont="1" applyFill="1" applyBorder="1" applyAlignment="1" applyProtection="1">
      <alignment horizontal="center"/>
      <protection locked="0"/>
    </xf>
    <xf numFmtId="0" fontId="25" fillId="9" borderId="71" xfId="0" applyFont="1" applyFill="1" applyBorder="1" applyAlignment="1" applyProtection="1">
      <alignment horizontal="center"/>
      <protection locked="0"/>
    </xf>
    <xf numFmtId="0" fontId="25" fillId="9" borderId="72" xfId="0" applyFont="1" applyFill="1" applyBorder="1" applyAlignment="1" applyProtection="1">
      <alignment horizontal="center"/>
      <protection locked="0"/>
    </xf>
    <xf numFmtId="0" fontId="5" fillId="0" borderId="2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0" fillId="9" borderId="61" xfId="0" applyFill="1" applyBorder="1" applyAlignment="1" applyProtection="1">
      <alignment wrapText="1"/>
    </xf>
    <xf numFmtId="0" fontId="0" fillId="9" borderId="0" xfId="0" applyFill="1" applyBorder="1" applyAlignment="1" applyProtection="1">
      <alignment wrapText="1"/>
    </xf>
    <xf numFmtId="0" fontId="0" fillId="11" borderId="10" xfId="0" applyNumberFormat="1" applyFill="1" applyBorder="1" applyAlignment="1" applyProtection="1">
      <alignment horizontal="right" wrapText="1"/>
      <protection locked="0"/>
    </xf>
    <xf numFmtId="0" fontId="0" fillId="11" borderId="5" xfId="0" applyNumberFormat="1" applyFill="1" applyBorder="1" applyAlignment="1" applyProtection="1">
      <alignment horizontal="right" wrapText="1"/>
      <protection locked="0"/>
    </xf>
    <xf numFmtId="0" fontId="0" fillId="11" borderId="6" xfId="0" applyNumberFormat="1" applyFill="1" applyBorder="1" applyAlignment="1" applyProtection="1">
      <alignment horizontal="right" wrapText="1"/>
      <protection locked="0"/>
    </xf>
    <xf numFmtId="0" fontId="23" fillId="9" borderId="70" xfId="0" applyFont="1" applyFill="1" applyBorder="1" applyAlignment="1" applyProtection="1">
      <alignment horizontal="left" wrapText="1"/>
    </xf>
    <xf numFmtId="0" fontId="23" fillId="9" borderId="71" xfId="0" applyFont="1" applyFill="1" applyBorder="1" applyAlignment="1" applyProtection="1">
      <alignment horizontal="left" wrapText="1"/>
    </xf>
    <xf numFmtId="0" fontId="23" fillId="9" borderId="72" xfId="0" applyFont="1" applyFill="1" applyBorder="1" applyAlignment="1" applyProtection="1">
      <alignment horizontal="left" wrapText="1"/>
    </xf>
    <xf numFmtId="0" fontId="25" fillId="9" borderId="44" xfId="0" applyFont="1" applyFill="1" applyBorder="1" applyAlignment="1" applyProtection="1">
      <alignment horizontal="left" wrapText="1"/>
      <protection locked="0"/>
    </xf>
    <xf numFmtId="0" fontId="25" fillId="9" borderId="19" xfId="0" applyFont="1" applyFill="1" applyBorder="1" applyAlignment="1" applyProtection="1">
      <alignment horizontal="left" wrapText="1"/>
      <protection locked="0"/>
    </xf>
    <xf numFmtId="0" fontId="25" fillId="9" borderId="20" xfId="0" applyFont="1" applyFill="1" applyBorder="1" applyAlignment="1" applyProtection="1">
      <alignment horizontal="left" wrapText="1"/>
      <protection locked="0"/>
    </xf>
    <xf numFmtId="0" fontId="6" fillId="9" borderId="2" xfId="0" applyFont="1" applyFill="1" applyBorder="1" applyAlignment="1">
      <alignment horizontal="center" vertical="top" wrapText="1"/>
    </xf>
    <xf numFmtId="0" fontId="3" fillId="9" borderId="39" xfId="0" applyFont="1" applyFill="1" applyBorder="1" applyAlignment="1">
      <alignment horizontal="center" vertical="top" wrapText="1"/>
    </xf>
    <xf numFmtId="0" fontId="3" fillId="9" borderId="22" xfId="0" applyFont="1" applyFill="1" applyBorder="1" applyAlignment="1">
      <alignment horizontal="center" vertical="top" wrapText="1"/>
    </xf>
    <xf numFmtId="0" fontId="3" fillId="9" borderId="12" xfId="0" applyFont="1" applyFill="1" applyBorder="1" applyAlignment="1">
      <alignment horizontal="center" vertical="top" wrapText="1"/>
    </xf>
    <xf numFmtId="0" fontId="3" fillId="9" borderId="11" xfId="0" applyFont="1" applyFill="1" applyBorder="1" applyAlignment="1">
      <alignment horizontal="center" vertical="top" wrapText="1"/>
    </xf>
    <xf numFmtId="2" fontId="0" fillId="11" borderId="10" xfId="0" applyNumberFormat="1" applyFill="1" applyBorder="1" applyAlignment="1" applyProtection="1">
      <alignment horizontal="right" wrapText="1"/>
      <protection locked="0"/>
    </xf>
    <xf numFmtId="2" fontId="0" fillId="11" borderId="5" xfId="0" applyNumberFormat="1" applyFill="1" applyBorder="1" applyAlignment="1" applyProtection="1">
      <alignment horizontal="right" wrapText="1"/>
      <protection locked="0"/>
    </xf>
    <xf numFmtId="2" fontId="0" fillId="11" borderId="6" xfId="0" applyNumberFormat="1" applyFill="1" applyBorder="1" applyAlignment="1" applyProtection="1">
      <alignment horizontal="right" wrapText="1"/>
      <protection locked="0"/>
    </xf>
    <xf numFmtId="0" fontId="23" fillId="9" borderId="5" xfId="0" applyFont="1" applyFill="1" applyBorder="1" applyAlignment="1" applyProtection="1">
      <alignment horizontal="left" wrapText="1"/>
      <protection locked="0"/>
    </xf>
    <xf numFmtId="0" fontId="23" fillId="9" borderId="6" xfId="0" applyFont="1" applyFill="1" applyBorder="1" applyAlignment="1" applyProtection="1">
      <alignment horizontal="left" wrapText="1"/>
      <protection locked="0"/>
    </xf>
    <xf numFmtId="0" fontId="4" fillId="9" borderId="39" xfId="0" applyFont="1" applyFill="1" applyBorder="1" applyAlignment="1">
      <alignment horizontal="center" vertical="top" wrapText="1"/>
    </xf>
    <xf numFmtId="0" fontId="4" fillId="9" borderId="22" xfId="0" applyFont="1" applyFill="1" applyBorder="1" applyAlignment="1">
      <alignment horizontal="center" vertical="top" wrapText="1"/>
    </xf>
    <xf numFmtId="0" fontId="4" fillId="9" borderId="12" xfId="0" applyFont="1" applyFill="1" applyBorder="1" applyAlignment="1">
      <alignment horizontal="center" vertical="top" wrapText="1"/>
    </xf>
    <xf numFmtId="0" fontId="4" fillId="9" borderId="11" xfId="0" applyFont="1" applyFill="1" applyBorder="1" applyAlignment="1">
      <alignment horizontal="center" vertical="top" wrapText="1"/>
    </xf>
    <xf numFmtId="0" fontId="23" fillId="9" borderId="10" xfId="0" applyFont="1" applyFill="1" applyBorder="1" applyAlignment="1" applyProtection="1">
      <alignment horizontal="left" wrapText="1"/>
      <protection locked="0"/>
    </xf>
    <xf numFmtId="0" fontId="4" fillId="9" borderId="22" xfId="0" applyFont="1" applyFill="1" applyBorder="1" applyAlignment="1">
      <alignment horizontal="center" wrapText="1"/>
    </xf>
    <xf numFmtId="0" fontId="4" fillId="9" borderId="12" xfId="0" applyFont="1" applyFill="1" applyBorder="1" applyAlignment="1">
      <alignment horizontal="center" wrapText="1"/>
    </xf>
    <xf numFmtId="0" fontId="4" fillId="9" borderId="11" xfId="0" applyFont="1" applyFill="1" applyBorder="1" applyAlignment="1">
      <alignment horizontal="center" wrapText="1"/>
    </xf>
    <xf numFmtId="0" fontId="0" fillId="9" borderId="10" xfId="0" applyFill="1" applyBorder="1" applyAlignment="1">
      <alignment horizontal="left" vertical="center" wrapText="1"/>
    </xf>
    <xf numFmtId="0" fontId="9" fillId="10" borderId="10"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5"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25" fillId="9" borderId="0" xfId="0" applyFont="1" applyFill="1" applyBorder="1" applyAlignment="1" applyProtection="1">
      <alignment horizontal="left" wrapText="1"/>
    </xf>
    <xf numFmtId="1" fontId="25" fillId="11" borderId="10" xfId="0" applyNumberFormat="1" applyFont="1" applyFill="1" applyBorder="1" applyAlignment="1" applyProtection="1">
      <alignment horizontal="center" wrapText="1"/>
      <protection locked="0"/>
    </xf>
    <xf numFmtId="1" fontId="25" fillId="11" borderId="6" xfId="0" applyNumberFormat="1" applyFont="1" applyFill="1" applyBorder="1" applyAlignment="1" applyProtection="1">
      <alignment horizontal="center" wrapText="1"/>
      <protection locked="0"/>
    </xf>
    <xf numFmtId="49" fontId="4" fillId="9" borderId="0" xfId="0" applyNumberFormat="1" applyFont="1" applyFill="1" applyAlignment="1" applyProtection="1">
      <alignment horizontal="left"/>
    </xf>
    <xf numFmtId="0" fontId="6" fillId="9" borderId="0" xfId="0" applyFont="1" applyFill="1" applyAlignment="1">
      <alignment horizontal="left"/>
    </xf>
    <xf numFmtId="0" fontId="6" fillId="9" borderId="0" xfId="0" applyFont="1" applyFill="1" applyAlignment="1">
      <alignment horizontal="left" wrapText="1"/>
    </xf>
    <xf numFmtId="0" fontId="1" fillId="9" borderId="0" xfId="35" applyNumberFormat="1" applyFill="1" applyAlignment="1" applyProtection="1">
      <alignment horizontal="left" wrapText="1"/>
      <protection locked="0"/>
    </xf>
    <xf numFmtId="0" fontId="38" fillId="12" borderId="44" xfId="0" applyFont="1" applyFill="1" applyBorder="1" applyAlignment="1" applyProtection="1">
      <alignment horizontal="left" vertical="center"/>
      <protection locked="0"/>
    </xf>
    <xf numFmtId="0" fontId="38" fillId="12" borderId="19" xfId="0" applyFont="1" applyFill="1" applyBorder="1" applyAlignment="1" applyProtection="1">
      <alignment horizontal="left" vertical="center"/>
      <protection locked="0"/>
    </xf>
    <xf numFmtId="0" fontId="38" fillId="12" borderId="20" xfId="0" applyFont="1" applyFill="1" applyBorder="1" applyAlignment="1" applyProtection="1">
      <alignment horizontal="left" vertical="center"/>
      <protection locked="0"/>
    </xf>
    <xf numFmtId="0" fontId="26" fillId="12" borderId="44" xfId="0" applyFont="1" applyFill="1" applyBorder="1" applyAlignment="1" applyProtection="1">
      <alignment vertical="top" wrapText="1"/>
      <protection locked="0"/>
    </xf>
    <xf numFmtId="0" fontId="26" fillId="12" borderId="19" xfId="0" applyFont="1" applyFill="1" applyBorder="1" applyAlignment="1" applyProtection="1">
      <alignment vertical="top" wrapText="1"/>
      <protection locked="0"/>
    </xf>
    <xf numFmtId="0" fontId="26" fillId="12" borderId="20" xfId="0" applyFont="1" applyFill="1" applyBorder="1" applyAlignment="1" applyProtection="1">
      <alignment vertical="top" wrapText="1"/>
      <protection locked="0"/>
    </xf>
    <xf numFmtId="0" fontId="0" fillId="21" borderId="10" xfId="0" applyNumberFormat="1" applyFill="1" applyBorder="1" applyAlignment="1" applyProtection="1">
      <alignment horizontal="left"/>
      <protection locked="0"/>
    </xf>
    <xf numFmtId="0" fontId="0" fillId="21" borderId="5" xfId="0" applyNumberFormat="1" applyFill="1" applyBorder="1" applyAlignment="1" applyProtection="1">
      <alignment horizontal="left"/>
      <protection locked="0"/>
    </xf>
    <xf numFmtId="0" fontId="0" fillId="21" borderId="6" xfId="0" applyNumberFormat="1" applyFill="1" applyBorder="1" applyAlignment="1" applyProtection="1">
      <alignment horizontal="left"/>
      <protection locked="0"/>
    </xf>
    <xf numFmtId="0" fontId="36" fillId="9" borderId="0" xfId="0" applyFont="1" applyFill="1" applyAlignment="1" applyProtection="1">
      <alignment vertical="top" wrapText="1"/>
    </xf>
    <xf numFmtId="0" fontId="5" fillId="10" borderId="3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39" xfId="0" applyFont="1" applyFill="1" applyBorder="1" applyAlignment="1">
      <alignment horizontal="center" vertical="center" wrapText="1"/>
    </xf>
    <xf numFmtId="2" fontId="4" fillId="12" borderId="10" xfId="0" applyNumberFormat="1" applyFont="1" applyFill="1" applyBorder="1" applyAlignment="1" applyProtection="1">
      <alignment horizontal="left" vertical="top" wrapText="1"/>
      <protection locked="0"/>
    </xf>
    <xf numFmtId="2" fontId="4" fillId="12" borderId="5" xfId="0" applyNumberFormat="1" applyFont="1" applyFill="1" applyBorder="1" applyAlignment="1" applyProtection="1">
      <alignment horizontal="left" vertical="top" wrapText="1"/>
      <protection locked="0"/>
    </xf>
    <xf numFmtId="2" fontId="4" fillId="12" borderId="6" xfId="0" applyNumberFormat="1" applyFont="1" applyFill="1" applyBorder="1" applyAlignment="1" applyProtection="1">
      <alignment horizontal="left" vertical="top" wrapText="1"/>
      <protection locked="0"/>
    </xf>
    <xf numFmtId="0" fontId="5" fillId="10" borderId="35"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3" xfId="0" applyFont="1" applyFill="1" applyBorder="1" applyAlignment="1">
      <alignment horizontal="center" vertical="center"/>
    </xf>
    <xf numFmtId="0" fontId="4" fillId="0" borderId="10" xfId="0" applyFont="1" applyBorder="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21" borderId="10" xfId="0" applyNumberFormat="1" applyFont="1" applyFill="1" applyBorder="1" applyAlignment="1" applyProtection="1">
      <alignment wrapText="1"/>
      <protection locked="0"/>
    </xf>
    <xf numFmtId="0" fontId="4" fillId="21" borderId="5" xfId="0" applyNumberFormat="1" applyFont="1" applyFill="1" applyBorder="1" applyAlignment="1" applyProtection="1">
      <alignment wrapText="1"/>
      <protection locked="0"/>
    </xf>
    <xf numFmtId="0" fontId="4" fillId="21" borderId="6" xfId="0" applyNumberFormat="1" applyFont="1" applyFill="1" applyBorder="1" applyAlignment="1" applyProtection="1">
      <alignment wrapText="1"/>
      <protection locked="0"/>
    </xf>
    <xf numFmtId="0" fontId="6" fillId="9" borderId="0" xfId="0" applyFont="1" applyFill="1" applyAlignment="1">
      <alignment horizontal="center"/>
    </xf>
    <xf numFmtId="0" fontId="3" fillId="9" borderId="22" xfId="0" applyFont="1" applyFill="1" applyBorder="1" applyAlignment="1">
      <alignment wrapText="1"/>
    </xf>
    <xf numFmtId="0" fontId="3" fillId="9" borderId="12" xfId="0" applyFont="1" applyFill="1" applyBorder="1" applyAlignment="1">
      <alignment wrapText="1"/>
    </xf>
    <xf numFmtId="0" fontId="3" fillId="9" borderId="11" xfId="0" applyFont="1" applyFill="1" applyBorder="1" applyAlignment="1">
      <alignment wrapText="1"/>
    </xf>
    <xf numFmtId="0" fontId="3" fillId="0" borderId="10" xfId="0" applyFont="1" applyBorder="1" applyAlignment="1">
      <alignment wrapText="1"/>
    </xf>
    <xf numFmtId="0" fontId="3" fillId="0" borderId="5" xfId="0" applyFont="1" applyBorder="1" applyAlignment="1">
      <alignment wrapText="1"/>
    </xf>
    <xf numFmtId="0" fontId="3" fillId="0" borderId="6" xfId="0" applyFont="1" applyBorder="1" applyAlignment="1">
      <alignment wrapText="1"/>
    </xf>
    <xf numFmtId="0" fontId="1" fillId="9" borderId="0" xfId="35" applyNumberFormat="1" applyFill="1" applyAlignment="1">
      <alignment horizontal="left" vertical="top"/>
    </xf>
    <xf numFmtId="0" fontId="6" fillId="9" borderId="0" xfId="0" applyFont="1" applyFill="1" applyAlignment="1">
      <alignment horizontal="left" vertical="top"/>
    </xf>
    <xf numFmtId="0" fontId="4" fillId="0" borderId="10"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11" borderId="10" xfId="0" applyNumberFormat="1" applyFill="1" applyBorder="1" applyAlignment="1" applyProtection="1">
      <alignment horizontal="left" vertical="center" wrapText="1"/>
      <protection locked="0"/>
    </xf>
    <xf numFmtId="0" fontId="0" fillId="11" borderId="5" xfId="0" applyNumberFormat="1" applyFill="1" applyBorder="1" applyAlignment="1" applyProtection="1">
      <alignment horizontal="left" vertical="center" wrapText="1"/>
      <protection locked="0"/>
    </xf>
    <xf numFmtId="0" fontId="0" fillId="11" borderId="6" xfId="0" applyNumberFormat="1" applyFill="1" applyBorder="1" applyAlignment="1" applyProtection="1">
      <alignment horizontal="left" vertical="center" wrapText="1"/>
      <protection locked="0"/>
    </xf>
    <xf numFmtId="0" fontId="4" fillId="0" borderId="10" xfId="0" applyFont="1" applyBorder="1" applyAlignment="1">
      <alignment horizontal="right" wrapText="1"/>
    </xf>
    <xf numFmtId="0" fontId="4" fillId="0" borderId="5" xfId="0" applyFont="1" applyBorder="1" applyAlignment="1">
      <alignment horizontal="right" wrapText="1"/>
    </xf>
    <xf numFmtId="0" fontId="4" fillId="0" borderId="6" xfId="0" applyFont="1" applyBorder="1" applyAlignment="1">
      <alignment horizontal="right" wrapText="1"/>
    </xf>
    <xf numFmtId="169" fontId="76" fillId="11" borderId="52" xfId="0" applyNumberFormat="1" applyFont="1" applyFill="1" applyBorder="1" applyAlignment="1" applyProtection="1">
      <alignment horizontal="left"/>
      <protection locked="0"/>
    </xf>
    <xf numFmtId="169" fontId="76" fillId="11" borderId="50" xfId="0" applyNumberFormat="1" applyFont="1" applyFill="1" applyBorder="1" applyAlignment="1" applyProtection="1">
      <alignment horizontal="left"/>
      <protection locked="0"/>
    </xf>
    <xf numFmtId="169" fontId="76" fillId="11" borderId="80" xfId="0" applyNumberFormat="1" applyFont="1" applyFill="1" applyBorder="1" applyAlignment="1" applyProtection="1">
      <alignment horizontal="left"/>
      <protection locked="0"/>
    </xf>
    <xf numFmtId="0" fontId="6" fillId="11" borderId="10" xfId="0" applyFont="1" applyFill="1" applyBorder="1" applyAlignment="1" applyProtection="1">
      <alignment horizontal="left"/>
      <protection locked="0"/>
    </xf>
    <xf numFmtId="0" fontId="6" fillId="11" borderId="5" xfId="0" applyFont="1" applyFill="1" applyBorder="1" applyAlignment="1" applyProtection="1">
      <alignment horizontal="left"/>
      <protection locked="0"/>
    </xf>
    <xf numFmtId="0" fontId="6" fillId="11" borderId="6" xfId="0" applyFont="1" applyFill="1" applyBorder="1" applyAlignment="1" applyProtection="1">
      <alignment horizontal="left"/>
      <protection locked="0"/>
    </xf>
    <xf numFmtId="0" fontId="50" fillId="9" borderId="10" xfId="0" applyFont="1" applyFill="1" applyBorder="1" applyAlignment="1">
      <alignment horizontal="right" wrapText="1"/>
    </xf>
    <xf numFmtId="0" fontId="50" fillId="9" borderId="5" xfId="0" applyFont="1" applyFill="1" applyBorder="1" applyAlignment="1">
      <alignment horizontal="right" wrapText="1"/>
    </xf>
    <xf numFmtId="1" fontId="0" fillId="11" borderId="52" xfId="0" applyNumberFormat="1" applyFill="1" applyBorder="1" applyAlignment="1" applyProtection="1">
      <alignment horizontal="left" vertical="center" wrapText="1"/>
      <protection locked="0"/>
    </xf>
    <xf numFmtId="1" fontId="0" fillId="11" borderId="50" xfId="0" applyNumberFormat="1" applyFill="1" applyBorder="1" applyAlignment="1" applyProtection="1">
      <alignment horizontal="left" vertical="center" wrapText="1"/>
      <protection locked="0"/>
    </xf>
    <xf numFmtId="1" fontId="0" fillId="11" borderId="80" xfId="0" applyNumberFormat="1" applyFill="1" applyBorder="1" applyAlignment="1" applyProtection="1">
      <alignment horizontal="left" vertical="center" wrapText="1"/>
      <protection locked="0"/>
    </xf>
    <xf numFmtId="0" fontId="25" fillId="9" borderId="70" xfId="0" applyFont="1" applyFill="1" applyBorder="1" applyAlignment="1">
      <alignment horizontal="left" vertical="center" wrapText="1"/>
    </xf>
    <xf numFmtId="0" fontId="25" fillId="9" borderId="71" xfId="0" applyFont="1" applyFill="1" applyBorder="1" applyAlignment="1">
      <alignment horizontal="left" vertical="center" wrapText="1"/>
    </xf>
    <xf numFmtId="0" fontId="25" fillId="9" borderId="81" xfId="0" applyFont="1" applyFill="1" applyBorder="1" applyAlignment="1">
      <alignment horizontal="left" vertical="center" wrapText="1"/>
    </xf>
    <xf numFmtId="0" fontId="6" fillId="11" borderId="35" xfId="0" applyNumberFormat="1" applyFont="1" applyFill="1" applyBorder="1" applyAlignment="1" applyProtection="1">
      <alignment horizontal="left" wrapText="1"/>
      <protection locked="0"/>
    </xf>
    <xf numFmtId="0" fontId="6" fillId="11" borderId="1" xfId="0" applyNumberFormat="1" applyFont="1" applyFill="1" applyBorder="1" applyAlignment="1" applyProtection="1">
      <alignment horizontal="left" wrapText="1"/>
      <protection locked="0"/>
    </xf>
    <xf numFmtId="0" fontId="6" fillId="11" borderId="23" xfId="0" applyNumberFormat="1" applyFont="1" applyFill="1" applyBorder="1" applyAlignment="1" applyProtection="1">
      <alignment horizontal="left" wrapText="1"/>
      <protection locked="0"/>
    </xf>
    <xf numFmtId="0" fontId="50" fillId="9" borderId="0" xfId="0" applyFont="1" applyFill="1" applyAlignment="1">
      <alignment horizontal="right" wrapText="1"/>
    </xf>
    <xf numFmtId="0" fontId="50" fillId="9" borderId="39" xfId="0" applyFont="1" applyFill="1" applyBorder="1" applyAlignment="1">
      <alignment horizontal="right" wrapText="1"/>
    </xf>
    <xf numFmtId="0" fontId="5" fillId="9" borderId="0" xfId="0" applyFont="1" applyFill="1" applyAlignment="1">
      <alignment wrapText="1"/>
    </xf>
    <xf numFmtId="0" fontId="5" fillId="9" borderId="0" xfId="0" applyFont="1" applyFill="1" applyAlignment="1">
      <alignment horizontal="left" vertical="center" wrapText="1"/>
    </xf>
    <xf numFmtId="1" fontId="6" fillId="11" borderId="10" xfId="0" applyNumberFormat="1" applyFont="1" applyFill="1" applyBorder="1" applyAlignment="1" applyProtection="1">
      <alignment wrapText="1"/>
      <protection locked="0"/>
    </xf>
    <xf numFmtId="1" fontId="6" fillId="11" borderId="5" xfId="0" applyNumberFormat="1" applyFont="1" applyFill="1" applyBorder="1" applyAlignment="1" applyProtection="1">
      <alignment wrapText="1"/>
      <protection locked="0"/>
    </xf>
    <xf numFmtId="1" fontId="6" fillId="11" borderId="6" xfId="0" applyNumberFormat="1" applyFont="1" applyFill="1" applyBorder="1" applyAlignment="1" applyProtection="1">
      <alignment wrapText="1"/>
      <protection locked="0"/>
    </xf>
    <xf numFmtId="0" fontId="5" fillId="9" borderId="0" xfId="0" applyFont="1" applyFill="1" applyAlignment="1">
      <alignment vertical="top" wrapText="1"/>
    </xf>
    <xf numFmtId="0" fontId="6" fillId="11" borderId="10" xfId="0" applyNumberFormat="1" applyFont="1" applyFill="1" applyBorder="1" applyAlignment="1" applyProtection="1">
      <alignment wrapText="1"/>
      <protection locked="0"/>
    </xf>
    <xf numFmtId="0" fontId="6" fillId="11" borderId="5" xfId="0" applyNumberFormat="1" applyFont="1" applyFill="1" applyBorder="1" applyAlignment="1" applyProtection="1">
      <alignment wrapText="1"/>
      <protection locked="0"/>
    </xf>
    <xf numFmtId="0" fontId="6" fillId="11" borderId="6" xfId="0" applyNumberFormat="1" applyFont="1" applyFill="1" applyBorder="1" applyAlignment="1" applyProtection="1">
      <alignment wrapText="1"/>
      <protection locked="0"/>
    </xf>
    <xf numFmtId="0" fontId="50" fillId="9" borderId="0" xfId="0" applyFont="1" applyFill="1" applyAlignment="1">
      <alignment horizontal="right"/>
    </xf>
    <xf numFmtId="0" fontId="50" fillId="9" borderId="39" xfId="0" applyFont="1" applyFill="1" applyBorder="1" applyAlignment="1">
      <alignment horizontal="right"/>
    </xf>
    <xf numFmtId="166" fontId="6" fillId="12" borderId="44" xfId="0" applyNumberFormat="1" applyFont="1" applyFill="1" applyBorder="1" applyAlignment="1" applyProtection="1">
      <protection locked="0"/>
    </xf>
    <xf numFmtId="166" fontId="6" fillId="12" borderId="19" xfId="0" applyNumberFormat="1" applyFont="1" applyFill="1" applyBorder="1" applyAlignment="1" applyProtection="1">
      <protection locked="0"/>
    </xf>
    <xf numFmtId="166" fontId="6" fillId="12" borderId="20" xfId="0" applyNumberFormat="1" applyFont="1" applyFill="1" applyBorder="1" applyAlignment="1" applyProtection="1">
      <protection locked="0"/>
    </xf>
    <xf numFmtId="1" fontId="6" fillId="11" borderId="10" xfId="0" applyNumberFormat="1" applyFont="1" applyFill="1" applyBorder="1" applyAlignment="1" applyProtection="1">
      <alignment horizontal="left"/>
      <protection locked="0"/>
    </xf>
    <xf numFmtId="1" fontId="6" fillId="11" borderId="5" xfId="0" applyNumberFormat="1" applyFont="1" applyFill="1" applyBorder="1" applyAlignment="1" applyProtection="1">
      <alignment horizontal="left"/>
      <protection locked="0"/>
    </xf>
    <xf numFmtId="1" fontId="6" fillId="11" borderId="6" xfId="0" applyNumberFormat="1" applyFont="1" applyFill="1" applyBorder="1" applyAlignment="1" applyProtection="1">
      <alignment horizontal="left"/>
      <protection locked="0"/>
    </xf>
    <xf numFmtId="0" fontId="3" fillId="9" borderId="0" xfId="0" applyFont="1" applyFill="1" applyAlignment="1">
      <alignment horizontal="left"/>
    </xf>
    <xf numFmtId="0" fontId="0" fillId="9" borderId="0" xfId="0" applyFill="1" applyAlignment="1">
      <alignment vertical="top" wrapText="1"/>
    </xf>
    <xf numFmtId="0" fontId="6" fillId="9" borderId="10" xfId="0" applyFont="1" applyFill="1" applyBorder="1" applyAlignment="1">
      <alignment horizontal="right"/>
    </xf>
    <xf numFmtId="0" fontId="6" fillId="9" borderId="5" xfId="0" applyFont="1" applyFill="1" applyBorder="1" applyAlignment="1">
      <alignment horizontal="right"/>
    </xf>
    <xf numFmtId="0" fontId="6" fillId="9" borderId="6" xfId="0" applyFont="1" applyFill="1" applyBorder="1" applyAlignment="1">
      <alignment horizontal="right"/>
    </xf>
    <xf numFmtId="0" fontId="6" fillId="9" borderId="70" xfId="0" applyFont="1" applyFill="1" applyBorder="1" applyAlignment="1">
      <alignment horizontal="right"/>
    </xf>
    <xf numFmtId="0" fontId="6" fillId="9" borderId="71" xfId="0" applyFont="1" applyFill="1" applyBorder="1" applyAlignment="1">
      <alignment horizontal="right"/>
    </xf>
    <xf numFmtId="0" fontId="6" fillId="9" borderId="81" xfId="0" applyFont="1" applyFill="1" applyBorder="1" applyAlignment="1">
      <alignment horizontal="right"/>
    </xf>
    <xf numFmtId="1" fontId="6" fillId="11" borderId="10" xfId="0" applyNumberFormat="1" applyFont="1" applyFill="1" applyBorder="1" applyAlignment="1" applyProtection="1">
      <alignment horizontal="center"/>
      <protection locked="0"/>
    </xf>
    <xf numFmtId="1" fontId="6" fillId="11" borderId="5" xfId="0" applyNumberFormat="1" applyFont="1" applyFill="1" applyBorder="1" applyAlignment="1" applyProtection="1">
      <alignment horizontal="center"/>
      <protection locked="0"/>
    </xf>
    <xf numFmtId="1" fontId="6" fillId="11" borderId="6" xfId="0" applyNumberFormat="1" applyFont="1" applyFill="1" applyBorder="1" applyAlignment="1" applyProtection="1">
      <alignment horizontal="center"/>
      <protection locked="0"/>
    </xf>
    <xf numFmtId="0" fontId="3" fillId="0" borderId="0" xfId="0" applyFont="1" applyAlignment="1">
      <alignment horizontal="left" vertical="top" wrapText="1"/>
    </xf>
    <xf numFmtId="0" fontId="25" fillId="9" borderId="0" xfId="0" applyFont="1" applyFill="1" applyAlignment="1">
      <alignment horizontal="left"/>
    </xf>
    <xf numFmtId="0" fontId="3" fillId="9" borderId="0" xfId="0" applyFont="1" applyFill="1" applyAlignment="1">
      <alignment horizontal="left" wrapText="1"/>
    </xf>
    <xf numFmtId="0" fontId="2" fillId="11" borderId="35" xfId="0" applyNumberFormat="1" applyFont="1" applyFill="1" applyBorder="1" applyAlignment="1" applyProtection="1">
      <alignment horizontal="left"/>
      <protection locked="0"/>
    </xf>
    <xf numFmtId="0" fontId="8" fillId="11" borderId="1" xfId="0" applyNumberFormat="1" applyFont="1" applyFill="1" applyBorder="1" applyAlignment="1" applyProtection="1">
      <alignment horizontal="left"/>
      <protection locked="0"/>
    </xf>
    <xf numFmtId="0" fontId="8" fillId="11" borderId="23" xfId="0" applyNumberFormat="1" applyFont="1" applyFill="1" applyBorder="1" applyAlignment="1" applyProtection="1">
      <alignment horizontal="left"/>
      <protection locked="0"/>
    </xf>
    <xf numFmtId="0" fontId="8" fillId="11" borderId="22" xfId="0" applyNumberFormat="1" applyFont="1" applyFill="1" applyBorder="1" applyAlignment="1" applyProtection="1">
      <alignment horizontal="left"/>
      <protection locked="0"/>
    </xf>
    <xf numFmtId="0" fontId="8" fillId="11" borderId="12" xfId="0" applyNumberFormat="1" applyFont="1" applyFill="1" applyBorder="1" applyAlignment="1" applyProtection="1">
      <alignment horizontal="left"/>
      <protection locked="0"/>
    </xf>
    <xf numFmtId="0" fontId="8" fillId="11" borderId="11" xfId="0" applyNumberFormat="1" applyFont="1" applyFill="1" applyBorder="1" applyAlignment="1" applyProtection="1">
      <alignment horizontal="left"/>
      <protection locked="0"/>
    </xf>
    <xf numFmtId="0" fontId="3" fillId="9" borderId="0" xfId="0" applyFont="1" applyFill="1" applyAlignment="1">
      <alignment vertical="top" wrapText="1"/>
    </xf>
    <xf numFmtId="0" fontId="4" fillId="9" borderId="35" xfId="0" applyFont="1" applyFill="1" applyBorder="1" applyAlignment="1">
      <alignment wrapText="1"/>
    </xf>
    <xf numFmtId="0" fontId="3" fillId="9" borderId="1" xfId="0" applyFont="1" applyFill="1" applyBorder="1" applyAlignment="1">
      <alignment wrapText="1"/>
    </xf>
    <xf numFmtId="0" fontId="3" fillId="9" borderId="23" xfId="0" applyFont="1" applyFill="1" applyBorder="1" applyAlignment="1">
      <alignment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3" fillId="0" borderId="0" xfId="0" applyFont="1" applyAlignment="1">
      <alignment horizontal="left"/>
    </xf>
    <xf numFmtId="0" fontId="2" fillId="11" borderId="10" xfId="0" applyNumberFormat="1" applyFont="1" applyFill="1" applyBorder="1" applyAlignment="1" applyProtection="1">
      <alignment horizontal="left"/>
      <protection locked="0"/>
    </xf>
    <xf numFmtId="0" fontId="8" fillId="11" borderId="5" xfId="0" applyNumberFormat="1" applyFont="1" applyFill="1" applyBorder="1" applyAlignment="1" applyProtection="1">
      <alignment horizontal="left"/>
      <protection locked="0"/>
    </xf>
    <xf numFmtId="0" fontId="8" fillId="11" borderId="6" xfId="0" applyNumberFormat="1" applyFont="1" applyFill="1" applyBorder="1" applyAlignment="1" applyProtection="1">
      <alignment horizontal="left"/>
      <protection locked="0"/>
    </xf>
    <xf numFmtId="167" fontId="0" fillId="9" borderId="0" xfId="0" applyNumberFormat="1" applyFill="1" applyAlignment="1">
      <alignment vertical="top" wrapText="1"/>
    </xf>
    <xf numFmtId="169" fontId="42" fillId="21" borderId="64" xfId="0" applyNumberFormat="1" applyFont="1" applyFill="1" applyBorder="1" applyAlignment="1" applyProtection="1">
      <alignment horizontal="left"/>
      <protection locked="0"/>
    </xf>
    <xf numFmtId="169" fontId="42" fillId="21" borderId="50" xfId="0" applyNumberFormat="1" applyFont="1" applyFill="1" applyBorder="1" applyAlignment="1" applyProtection="1">
      <alignment horizontal="left"/>
      <protection locked="0"/>
    </xf>
    <xf numFmtId="169" fontId="42" fillId="21" borderId="65" xfId="0" applyNumberFormat="1" applyFont="1" applyFill="1" applyBorder="1" applyAlignment="1" applyProtection="1">
      <alignment horizontal="left"/>
      <protection locked="0"/>
    </xf>
    <xf numFmtId="0" fontId="8" fillId="10" borderId="10" xfId="0" applyFont="1" applyFill="1" applyBorder="1" applyAlignment="1" applyProtection="1">
      <protection locked="0"/>
    </xf>
    <xf numFmtId="0" fontId="8" fillId="10" borderId="5" xfId="0" applyFont="1" applyFill="1" applyBorder="1" applyAlignment="1" applyProtection="1">
      <protection locked="0"/>
    </xf>
    <xf numFmtId="0" fontId="8" fillId="10" borderId="6" xfId="0" applyFont="1" applyFill="1" applyBorder="1" applyAlignment="1" applyProtection="1">
      <protection locked="0"/>
    </xf>
    <xf numFmtId="0" fontId="11" fillId="23" borderId="10" xfId="0" applyFont="1" applyFill="1" applyBorder="1" applyAlignment="1">
      <alignment horizontal="center"/>
    </xf>
    <xf numFmtId="0" fontId="11" fillId="23" borderId="5" xfId="0" applyFont="1" applyFill="1" applyBorder="1" applyAlignment="1">
      <alignment horizontal="center"/>
    </xf>
    <xf numFmtId="0" fontId="11" fillId="23" borderId="6" xfId="0" applyFont="1" applyFill="1" applyBorder="1" applyAlignment="1">
      <alignment horizontal="center"/>
    </xf>
    <xf numFmtId="0" fontId="23" fillId="9" borderId="0" xfId="0" applyFont="1" applyFill="1" applyAlignment="1" applyProtection="1">
      <alignment vertical="top" wrapText="1"/>
    </xf>
    <xf numFmtId="0" fontId="6" fillId="10" borderId="2"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39" xfId="0" applyFont="1" applyFill="1" applyBorder="1" applyAlignment="1">
      <alignment horizontal="center" vertical="center" wrapText="1"/>
    </xf>
    <xf numFmtId="0" fontId="34" fillId="10" borderId="2" xfId="0" applyFont="1" applyFill="1" applyBorder="1" applyAlignment="1">
      <alignment horizontal="center" vertical="center" wrapText="1"/>
    </xf>
    <xf numFmtId="0" fontId="34" fillId="10" borderId="0" xfId="0" applyFont="1" applyFill="1" applyBorder="1" applyAlignment="1">
      <alignment horizontal="center" vertical="center" wrapText="1"/>
    </xf>
    <xf numFmtId="0" fontId="34" fillId="10" borderId="39" xfId="0" applyFont="1" applyFill="1" applyBorder="1" applyAlignment="1">
      <alignment horizontal="center" vertical="center" wrapText="1"/>
    </xf>
    <xf numFmtId="0" fontId="34" fillId="10" borderId="22" xfId="0" applyFont="1" applyFill="1" applyBorder="1" applyAlignment="1">
      <alignment horizontal="center" vertical="center" wrapText="1"/>
    </xf>
    <xf numFmtId="0" fontId="34" fillId="10" borderId="12" xfId="0" applyFont="1" applyFill="1" applyBorder="1" applyAlignment="1">
      <alignment horizontal="center" vertical="center" wrapText="1"/>
    </xf>
    <xf numFmtId="0" fontId="34" fillId="10" borderId="11" xfId="0" applyFont="1" applyFill="1" applyBorder="1" applyAlignment="1">
      <alignment horizontal="center" vertical="center" wrapText="1"/>
    </xf>
    <xf numFmtId="0" fontId="49" fillId="10" borderId="22" xfId="0" applyFont="1" applyFill="1" applyBorder="1" applyAlignment="1">
      <alignment horizontal="center"/>
    </xf>
    <xf numFmtId="0" fontId="49" fillId="10" borderId="12" xfId="0" applyFont="1" applyFill="1" applyBorder="1" applyAlignment="1">
      <alignment horizontal="center"/>
    </xf>
    <xf numFmtId="0" fontId="49" fillId="10" borderId="11" xfId="0" applyFont="1" applyFill="1" applyBorder="1" applyAlignment="1">
      <alignment horizontal="center"/>
    </xf>
    <xf numFmtId="0" fontId="4" fillId="0" borderId="10"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3" fillId="11" borderId="10" xfId="0" applyNumberFormat="1" applyFont="1" applyFill="1" applyBorder="1" applyAlignment="1" applyProtection="1">
      <alignment horizontal="left" vertical="top" wrapText="1"/>
      <protection locked="0"/>
    </xf>
    <xf numFmtId="0" fontId="0" fillId="11" borderId="5" xfId="0" applyNumberFormat="1" applyFill="1" applyBorder="1" applyAlignment="1" applyProtection="1">
      <alignment horizontal="left" vertical="top" wrapText="1"/>
      <protection locked="0"/>
    </xf>
    <xf numFmtId="0" fontId="0" fillId="11" borderId="6" xfId="0" applyNumberFormat="1" applyFill="1" applyBorder="1" applyAlignment="1" applyProtection="1">
      <alignment horizontal="left" vertical="top" wrapText="1"/>
      <protection locked="0"/>
    </xf>
    <xf numFmtId="0" fontId="1" fillId="9" borderId="0" xfId="35" applyNumberFormat="1" applyFill="1" applyAlignment="1">
      <alignment horizontal="left"/>
    </xf>
    <xf numFmtId="0" fontId="0" fillId="22" borderId="10" xfId="0" applyFill="1" applyBorder="1" applyAlignment="1" applyProtection="1">
      <protection locked="0"/>
    </xf>
    <xf numFmtId="0" fontId="0" fillId="22" borderId="5" xfId="0" applyFill="1" applyBorder="1" applyAlignment="1" applyProtection="1">
      <protection locked="0"/>
    </xf>
    <xf numFmtId="0" fontId="0" fillId="22" borderId="6" xfId="0" applyFill="1" applyBorder="1" applyAlignment="1" applyProtection="1">
      <protection locked="0"/>
    </xf>
    <xf numFmtId="0" fontId="11" fillId="10" borderId="22"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26" fillId="9" borderId="0" xfId="0" applyNumberFormat="1" applyFont="1" applyFill="1" applyBorder="1" applyAlignment="1">
      <alignment horizontal="center" vertical="center" wrapText="1"/>
    </xf>
    <xf numFmtId="0" fontId="4" fillId="9" borderId="0" xfId="0" applyFont="1" applyFill="1" applyBorder="1" applyAlignment="1" applyProtection="1">
      <alignment wrapText="1"/>
    </xf>
    <xf numFmtId="0" fontId="4" fillId="9" borderId="39" xfId="0" applyFont="1" applyFill="1" applyBorder="1" applyAlignment="1" applyProtection="1">
      <alignment wrapText="1"/>
    </xf>
    <xf numFmtId="0" fontId="11" fillId="10" borderId="2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1" fillId="10" borderId="68"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60" xfId="0" applyFont="1" applyFill="1" applyBorder="1" applyAlignment="1">
      <alignment horizontal="center" vertical="center" wrapText="1"/>
    </xf>
    <xf numFmtId="0" fontId="32" fillId="24" borderId="44" xfId="0" applyFont="1" applyFill="1" applyBorder="1" applyAlignment="1">
      <alignment horizontal="center" vertical="top"/>
    </xf>
    <xf numFmtId="0" fontId="32" fillId="24" borderId="19" xfId="0" applyFont="1" applyFill="1" applyBorder="1" applyAlignment="1">
      <alignment horizontal="center" vertical="top"/>
    </xf>
    <xf numFmtId="0" fontId="32" fillId="24" borderId="20" xfId="0" applyFont="1" applyFill="1" applyBorder="1" applyAlignment="1">
      <alignment horizontal="center" vertical="top"/>
    </xf>
    <xf numFmtId="0" fontId="56" fillId="12" borderId="35" xfId="0" applyNumberFormat="1" applyFont="1" applyFill="1" applyBorder="1" applyAlignment="1" applyProtection="1">
      <alignment horizontal="center" vertical="center" wrapText="1"/>
      <protection locked="0"/>
    </xf>
    <xf numFmtId="0" fontId="56" fillId="12" borderId="1" xfId="0" applyNumberFormat="1" applyFont="1" applyFill="1" applyBorder="1" applyAlignment="1" applyProtection="1">
      <alignment horizontal="center" vertical="center" wrapText="1"/>
      <protection locked="0"/>
    </xf>
    <xf numFmtId="0" fontId="56" fillId="12" borderId="23" xfId="0" applyNumberFormat="1" applyFont="1" applyFill="1" applyBorder="1" applyAlignment="1" applyProtection="1">
      <alignment horizontal="center" vertical="center" wrapText="1"/>
      <protection locked="0"/>
    </xf>
    <xf numFmtId="0" fontId="56" fillId="12" borderId="22" xfId="0" applyNumberFormat="1" applyFont="1" applyFill="1" applyBorder="1" applyAlignment="1" applyProtection="1">
      <alignment horizontal="center" vertical="center" wrapText="1"/>
      <protection locked="0"/>
    </xf>
    <xf numFmtId="0" fontId="56" fillId="12" borderId="12" xfId="0" applyNumberFormat="1" applyFont="1" applyFill="1" applyBorder="1" applyAlignment="1" applyProtection="1">
      <alignment horizontal="center" vertical="center" wrapText="1"/>
      <protection locked="0"/>
    </xf>
    <xf numFmtId="0" fontId="56" fillId="12" borderId="11" xfId="0" applyNumberFormat="1" applyFont="1" applyFill="1" applyBorder="1" applyAlignment="1" applyProtection="1">
      <alignment horizontal="center" vertical="center" wrapText="1"/>
      <protection locked="0"/>
    </xf>
    <xf numFmtId="0" fontId="23" fillId="9" borderId="10" xfId="0" applyNumberFormat="1" applyFont="1" applyFill="1" applyBorder="1" applyAlignment="1" applyProtection="1">
      <alignment horizontal="left" wrapText="1"/>
      <protection locked="0"/>
    </xf>
    <xf numFmtId="0" fontId="23" fillId="9" borderId="5" xfId="0" applyNumberFormat="1" applyFont="1" applyFill="1" applyBorder="1" applyAlignment="1" applyProtection="1">
      <alignment horizontal="left" wrapText="1"/>
      <protection locked="0"/>
    </xf>
    <xf numFmtId="0" fontId="23" fillId="9" borderId="6" xfId="0" applyNumberFormat="1" applyFont="1" applyFill="1" applyBorder="1" applyAlignment="1" applyProtection="1">
      <alignment horizontal="left" wrapText="1"/>
      <protection locked="0"/>
    </xf>
    <xf numFmtId="0" fontId="4" fillId="9" borderId="5" xfId="0" applyFont="1" applyFill="1" applyBorder="1" applyAlignment="1">
      <alignment horizontal="center" wrapText="1"/>
    </xf>
    <xf numFmtId="0" fontId="4" fillId="9" borderId="6" xfId="0" applyFont="1" applyFill="1" applyBorder="1" applyAlignment="1">
      <alignment horizontal="center" wrapText="1"/>
    </xf>
    <xf numFmtId="0" fontId="6" fillId="9" borderId="0" xfId="0" applyFont="1" applyFill="1" applyBorder="1" applyAlignment="1">
      <alignment horizontal="center" vertical="top" wrapText="1"/>
    </xf>
    <xf numFmtId="0" fontId="6" fillId="9" borderId="39" xfId="0" applyFont="1" applyFill="1" applyBorder="1" applyAlignment="1">
      <alignment horizontal="center" vertical="top" wrapText="1"/>
    </xf>
    <xf numFmtId="0" fontId="6" fillId="9" borderId="22" xfId="0" applyFont="1" applyFill="1" applyBorder="1" applyAlignment="1">
      <alignment horizontal="center" vertical="top" wrapText="1"/>
    </xf>
    <xf numFmtId="0" fontId="6" fillId="9" borderId="12" xfId="0" applyFont="1" applyFill="1" applyBorder="1" applyAlignment="1">
      <alignment horizontal="center" vertical="top" wrapText="1"/>
    </xf>
    <xf numFmtId="0" fontId="6" fillId="9" borderId="11" xfId="0" applyFont="1" applyFill="1" applyBorder="1" applyAlignment="1">
      <alignment horizontal="center" vertical="top" wrapText="1"/>
    </xf>
    <xf numFmtId="0" fontId="4" fillId="9" borderId="23" xfId="0" applyFont="1" applyFill="1" applyBorder="1" applyAlignment="1">
      <alignment horizontal="center" wrapText="1"/>
    </xf>
    <xf numFmtId="0" fontId="4" fillId="9" borderId="39" xfId="0" applyFont="1" applyFill="1" applyBorder="1" applyAlignment="1">
      <alignment horizontal="center" wrapText="1"/>
    </xf>
    <xf numFmtId="0" fontId="5" fillId="9" borderId="0" xfId="0" applyFont="1" applyFill="1" applyBorder="1" applyAlignment="1">
      <alignment horizontal="center" vertical="top" wrapText="1"/>
    </xf>
    <xf numFmtId="0" fontId="5" fillId="9" borderId="39" xfId="0" applyFont="1" applyFill="1" applyBorder="1" applyAlignment="1">
      <alignment horizontal="center" vertical="top" wrapText="1"/>
    </xf>
    <xf numFmtId="0" fontId="5" fillId="9" borderId="2" xfId="0" applyFont="1" applyFill="1" applyBorder="1" applyAlignment="1">
      <alignment horizontal="center" vertical="top" wrapText="1"/>
    </xf>
    <xf numFmtId="0" fontId="5" fillId="9" borderId="22" xfId="0" applyFont="1" applyFill="1" applyBorder="1" applyAlignment="1">
      <alignment horizontal="center" vertical="top" wrapText="1"/>
    </xf>
    <xf numFmtId="0" fontId="5" fillId="9" borderId="12" xfId="0" applyFont="1" applyFill="1" applyBorder="1" applyAlignment="1">
      <alignment horizontal="center" vertical="top" wrapText="1"/>
    </xf>
    <xf numFmtId="0" fontId="5" fillId="9" borderId="11" xfId="0" applyFont="1" applyFill="1" applyBorder="1" applyAlignment="1">
      <alignment horizontal="center" vertical="top" wrapText="1"/>
    </xf>
    <xf numFmtId="0" fontId="3" fillId="10" borderId="35" xfId="0" applyFont="1" applyFill="1" applyBorder="1" applyAlignment="1" applyProtection="1">
      <alignment horizontal="center" vertical="center" wrapText="1"/>
    </xf>
    <xf numFmtId="0" fontId="3" fillId="10" borderId="1"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3" fillId="10" borderId="0"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22"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25" fillId="11" borderId="44" xfId="0" applyFont="1" applyFill="1" applyBorder="1" applyAlignment="1" applyProtection="1">
      <alignment horizontal="left"/>
      <protection locked="0"/>
    </xf>
    <xf numFmtId="0" fontId="25" fillId="11" borderId="19" xfId="0" applyFont="1" applyFill="1" applyBorder="1" applyAlignment="1" applyProtection="1">
      <alignment horizontal="left"/>
      <protection locked="0"/>
    </xf>
    <xf numFmtId="0" fontId="25" fillId="11" borderId="20" xfId="0" applyFont="1" applyFill="1" applyBorder="1" applyAlignment="1" applyProtection="1">
      <alignment horizontal="left"/>
      <protection locked="0"/>
    </xf>
    <xf numFmtId="0" fontId="42" fillId="9" borderId="0" xfId="0" applyFont="1" applyFill="1" applyAlignment="1">
      <alignment horizontal="left" vertical="top" wrapText="1"/>
    </xf>
    <xf numFmtId="0" fontId="23" fillId="9" borderId="70" xfId="0" applyFont="1" applyFill="1" applyBorder="1" applyAlignment="1" applyProtection="1">
      <alignment horizontal="center"/>
    </xf>
    <xf numFmtId="0" fontId="23" fillId="9" borderId="71" xfId="0" applyFont="1" applyFill="1" applyBorder="1" applyAlignment="1" applyProtection="1">
      <alignment horizontal="center"/>
    </xf>
    <xf numFmtId="0" fontId="23" fillId="9" borderId="72" xfId="0" applyFont="1" applyFill="1" applyBorder="1" applyAlignment="1" applyProtection="1">
      <alignment horizontal="center"/>
    </xf>
    <xf numFmtId="0" fontId="4" fillId="10" borderId="35"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0" borderId="23" xfId="0" applyFont="1" applyFill="1" applyBorder="1" applyAlignment="1" applyProtection="1">
      <alignment horizontal="center" vertical="center" wrapText="1"/>
    </xf>
    <xf numFmtId="0" fontId="4" fillId="10" borderId="2"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wrapText="1"/>
    </xf>
    <xf numFmtId="0" fontId="4" fillId="10" borderId="39" xfId="0" applyFont="1" applyFill="1" applyBorder="1" applyAlignment="1" applyProtection="1">
      <alignment horizontal="center" vertical="center" wrapText="1"/>
    </xf>
    <xf numFmtId="0" fontId="4" fillId="10" borderId="22" xfId="0" applyFont="1" applyFill="1" applyBorder="1" applyAlignment="1" applyProtection="1">
      <alignment horizontal="center" vertical="center" wrapText="1"/>
    </xf>
    <xf numFmtId="0" fontId="4" fillId="10" borderId="12" xfId="0" applyFont="1" applyFill="1" applyBorder="1" applyAlignment="1" applyProtection="1">
      <alignment horizontal="center" vertical="center" wrapText="1"/>
    </xf>
    <xf numFmtId="0" fontId="4" fillId="10" borderId="11" xfId="0" applyFont="1" applyFill="1" applyBorder="1" applyAlignment="1" applyProtection="1">
      <alignment horizontal="center" vertical="center" wrapText="1"/>
    </xf>
    <xf numFmtId="0" fontId="4" fillId="10" borderId="35" xfId="0" applyFont="1" applyFill="1" applyBorder="1" applyAlignment="1">
      <alignment horizontal="center" vertical="top" wrapText="1"/>
    </xf>
    <xf numFmtId="0" fontId="3" fillId="10" borderId="1" xfId="0" applyFont="1" applyFill="1" applyBorder="1" applyAlignment="1">
      <alignment horizontal="center" vertical="top" wrapText="1"/>
    </xf>
    <xf numFmtId="0" fontId="3" fillId="10" borderId="23" xfId="0" applyFont="1" applyFill="1" applyBorder="1" applyAlignment="1">
      <alignment horizontal="center" vertical="top" wrapText="1"/>
    </xf>
    <xf numFmtId="10" fontId="23" fillId="9" borderId="10" xfId="0" applyNumberFormat="1" applyFont="1" applyFill="1" applyBorder="1" applyAlignment="1" applyProtection="1">
      <alignment horizontal="center" wrapText="1"/>
    </xf>
    <xf numFmtId="10" fontId="23" fillId="9" borderId="5" xfId="0" applyNumberFormat="1" applyFont="1" applyFill="1" applyBorder="1" applyAlignment="1" applyProtection="1">
      <alignment horizontal="center" wrapText="1"/>
    </xf>
    <xf numFmtId="10" fontId="23" fillId="9" borderId="6" xfId="0" applyNumberFormat="1" applyFont="1" applyFill="1" applyBorder="1" applyAlignment="1" applyProtection="1">
      <alignment horizontal="center" wrapText="1"/>
    </xf>
    <xf numFmtId="0" fontId="23" fillId="9" borderId="10" xfId="0" applyNumberFormat="1" applyFont="1" applyFill="1" applyBorder="1" applyAlignment="1" applyProtection="1">
      <alignment horizontal="left" wrapText="1"/>
    </xf>
    <xf numFmtId="0" fontId="23" fillId="9" borderId="5" xfId="0" applyNumberFormat="1" applyFont="1" applyFill="1" applyBorder="1" applyAlignment="1" applyProtection="1">
      <alignment horizontal="left" wrapText="1"/>
    </xf>
    <xf numFmtId="0" fontId="23" fillId="9" borderId="6" xfId="0" applyNumberFormat="1" applyFont="1" applyFill="1" applyBorder="1" applyAlignment="1" applyProtection="1">
      <alignment horizontal="left" wrapText="1"/>
    </xf>
    <xf numFmtId="166" fontId="3" fillId="11" borderId="10" xfId="0" applyNumberFormat="1" applyFont="1" applyFill="1" applyBorder="1" applyAlignment="1" applyProtection="1">
      <alignment horizontal="right" wrapText="1"/>
      <protection locked="0"/>
    </xf>
    <xf numFmtId="0" fontId="4" fillId="9" borderId="0" xfId="0" applyFont="1" applyFill="1" applyBorder="1" applyAlignment="1">
      <alignment horizontal="left" wrapText="1"/>
    </xf>
    <xf numFmtId="0" fontId="25" fillId="11" borderId="10" xfId="0" applyNumberFormat="1" applyFont="1" applyFill="1" applyBorder="1" applyAlignment="1" applyProtection="1">
      <alignment horizontal="right" wrapText="1"/>
      <protection locked="0"/>
    </xf>
    <xf numFmtId="0" fontId="76" fillId="13" borderId="34" xfId="0" applyFont="1" applyFill="1" applyBorder="1" applyAlignment="1">
      <alignment horizontal="right" vertical="center" wrapText="1"/>
    </xf>
    <xf numFmtId="0" fontId="76" fillId="13" borderId="50" xfId="0" applyFont="1" applyFill="1" applyBorder="1" applyAlignment="1">
      <alignment horizontal="right" vertical="center" wrapText="1"/>
    </xf>
    <xf numFmtId="0" fontId="5" fillId="10" borderId="40" xfId="0" applyNumberFormat="1" applyFont="1" applyFill="1" applyBorder="1" applyAlignment="1">
      <alignment horizontal="right" wrapText="1"/>
    </xf>
    <xf numFmtId="0" fontId="3" fillId="11" borderId="44" xfId="0" applyNumberFormat="1" applyFont="1" applyFill="1" applyBorder="1" applyAlignment="1" applyProtection="1">
      <alignment vertical="top" wrapText="1"/>
      <protection locked="0"/>
    </xf>
    <xf numFmtId="0" fontId="3" fillId="11" borderId="19" xfId="0" applyNumberFormat="1" applyFont="1" applyFill="1" applyBorder="1" applyAlignment="1" applyProtection="1">
      <alignment vertical="top" wrapText="1"/>
      <protection locked="0"/>
    </xf>
    <xf numFmtId="0" fontId="3" fillId="11" borderId="20" xfId="0" applyNumberFormat="1" applyFont="1" applyFill="1" applyBorder="1" applyAlignment="1" applyProtection="1">
      <alignment vertical="top" wrapText="1"/>
      <protection locked="0"/>
    </xf>
    <xf numFmtId="0" fontId="24" fillId="9" borderId="0" xfId="0" applyFont="1" applyFill="1" applyAlignment="1" applyProtection="1">
      <alignment vertical="center" wrapText="1"/>
    </xf>
    <xf numFmtId="0" fontId="24" fillId="9" borderId="0" xfId="0" applyFont="1" applyFill="1" applyAlignment="1" applyProtection="1">
      <alignment vertical="center"/>
    </xf>
    <xf numFmtId="0" fontId="24" fillId="9" borderId="37" xfId="0" applyFont="1" applyFill="1" applyBorder="1" applyAlignment="1" applyProtection="1">
      <alignment vertical="center"/>
    </xf>
    <xf numFmtId="0" fontId="26" fillId="12" borderId="69" xfId="0" applyNumberFormat="1" applyFont="1" applyFill="1" applyBorder="1" applyAlignment="1" applyProtection="1">
      <alignment horizontal="center" vertical="center" wrapText="1"/>
      <protection locked="0"/>
    </xf>
    <xf numFmtId="0" fontId="26" fillId="12" borderId="19" xfId="0" applyNumberFormat="1" applyFont="1" applyFill="1" applyBorder="1" applyAlignment="1" applyProtection="1">
      <alignment horizontal="center" vertical="center" wrapText="1"/>
      <protection locked="0"/>
    </xf>
    <xf numFmtId="0" fontId="26" fillId="12" borderId="20" xfId="0" applyNumberFormat="1" applyFont="1" applyFill="1" applyBorder="1" applyAlignment="1" applyProtection="1">
      <alignment horizontal="center" vertical="center" wrapText="1"/>
      <protection locked="0"/>
    </xf>
    <xf numFmtId="0" fontId="27" fillId="9" borderId="0" xfId="0" applyNumberFormat="1" applyFont="1" applyFill="1" applyAlignment="1" applyProtection="1">
      <alignment horizontal="center"/>
      <protection locked="0"/>
    </xf>
    <xf numFmtId="0" fontId="4" fillId="9" borderId="0" xfId="0" applyFont="1" applyFill="1" applyAlignment="1">
      <alignment wrapText="1"/>
    </xf>
    <xf numFmtId="0" fontId="0" fillId="11" borderId="20" xfId="0" applyNumberFormat="1" applyFill="1" applyBorder="1" applyAlignment="1" applyProtection="1">
      <alignment horizontal="left" wrapText="1"/>
      <protection locked="0"/>
    </xf>
    <xf numFmtId="1" fontId="25" fillId="9" borderId="44" xfId="0" applyNumberFormat="1" applyFont="1" applyFill="1" applyBorder="1" applyAlignment="1">
      <alignment horizontal="right" vertical="center"/>
    </xf>
    <xf numFmtId="1" fontId="25" fillId="9" borderId="19" xfId="0" applyNumberFormat="1" applyFont="1" applyFill="1" applyBorder="1" applyAlignment="1">
      <alignment horizontal="right" vertical="center"/>
    </xf>
    <xf numFmtId="1" fontId="25" fillId="9" borderId="63" xfId="0" applyNumberFormat="1" applyFont="1" applyFill="1" applyBorder="1" applyAlignment="1">
      <alignment horizontal="right" vertical="center"/>
    </xf>
    <xf numFmtId="0" fontId="3" fillId="9" borderId="0" xfId="0" applyFont="1" applyFill="1" applyBorder="1" applyAlignment="1">
      <alignment horizontal="left" vertical="top" wrapText="1"/>
    </xf>
    <xf numFmtId="0" fontId="3" fillId="11" borderId="52" xfId="0" applyNumberFormat="1" applyFont="1" applyFill="1" applyBorder="1" applyAlignment="1" applyProtection="1">
      <alignment horizontal="center" wrapText="1"/>
      <protection locked="0"/>
    </xf>
    <xf numFmtId="0" fontId="3" fillId="11" borderId="50" xfId="0" applyNumberFormat="1" applyFont="1" applyFill="1" applyBorder="1" applyAlignment="1" applyProtection="1">
      <alignment horizontal="center" wrapText="1"/>
      <protection locked="0"/>
    </xf>
    <xf numFmtId="0" fontId="3" fillId="11" borderId="80" xfId="0" applyNumberFormat="1" applyFont="1" applyFill="1" applyBorder="1" applyAlignment="1" applyProtection="1">
      <alignment horizontal="center" wrapText="1"/>
      <protection locked="0"/>
    </xf>
    <xf numFmtId="0" fontId="4" fillId="9" borderId="0" xfId="0" applyFont="1" applyFill="1" applyBorder="1" applyAlignment="1">
      <alignment wrapText="1"/>
    </xf>
    <xf numFmtId="1" fontId="3" fillId="11" borderId="52" xfId="0" applyNumberFormat="1" applyFont="1" applyFill="1" applyBorder="1" applyAlignment="1" applyProtection="1">
      <alignment horizontal="center" wrapText="1"/>
      <protection locked="0"/>
    </xf>
    <xf numFmtId="1" fontId="3" fillId="11" borderId="50" xfId="0" applyNumberFormat="1" applyFont="1" applyFill="1" applyBorder="1" applyAlignment="1" applyProtection="1">
      <alignment horizontal="center" wrapText="1"/>
      <protection locked="0"/>
    </xf>
    <xf numFmtId="1" fontId="3" fillId="11" borderId="80" xfId="0" applyNumberFormat="1" applyFont="1" applyFill="1" applyBorder="1" applyAlignment="1" applyProtection="1">
      <alignment horizontal="center" wrapText="1"/>
      <protection locked="0"/>
    </xf>
    <xf numFmtId="0" fontId="26" fillId="9" borderId="62" xfId="0" applyFont="1" applyFill="1" applyBorder="1" applyAlignment="1" applyProtection="1">
      <alignment horizontal="center" vertical="center" wrapText="1"/>
    </xf>
    <xf numFmtId="0" fontId="26" fillId="9" borderId="14" xfId="0" applyFont="1" applyFill="1" applyBorder="1" applyAlignment="1" applyProtection="1">
      <alignment horizontal="center" vertical="center" wrapText="1"/>
    </xf>
    <xf numFmtId="0" fontId="26" fillId="9" borderId="38" xfId="0" applyFont="1" applyFill="1" applyBorder="1" applyAlignment="1" applyProtection="1">
      <alignment horizontal="center" vertical="center" wrapText="1"/>
    </xf>
    <xf numFmtId="0" fontId="26" fillId="9" borderId="3" xfId="0" applyFont="1" applyFill="1" applyBorder="1" applyAlignment="1" applyProtection="1">
      <alignment horizontal="center" vertical="center" wrapText="1"/>
    </xf>
    <xf numFmtId="0" fontId="26" fillId="9" borderId="0" xfId="0" applyFont="1" applyFill="1" applyBorder="1" applyAlignment="1" applyProtection="1">
      <alignment horizontal="center" vertical="center" wrapText="1"/>
    </xf>
    <xf numFmtId="0" fontId="26" fillId="9" borderId="37" xfId="0" applyFont="1" applyFill="1" applyBorder="1" applyAlignment="1" applyProtection="1">
      <alignment horizontal="center" vertical="center" wrapText="1"/>
    </xf>
    <xf numFmtId="0" fontId="26" fillId="9" borderId="17" xfId="0" applyFont="1" applyFill="1" applyBorder="1" applyAlignment="1" applyProtection="1">
      <alignment horizontal="center" vertical="center" wrapText="1"/>
    </xf>
    <xf numFmtId="0" fontId="26" fillId="9" borderId="18" xfId="0" applyFont="1" applyFill="1" applyBorder="1" applyAlignment="1" applyProtection="1">
      <alignment horizontal="center" vertical="center" wrapText="1"/>
    </xf>
    <xf numFmtId="0" fontId="26" fillId="9" borderId="13" xfId="0" applyFont="1" applyFill="1" applyBorder="1" applyAlignment="1" applyProtection="1">
      <alignment horizontal="center" vertical="center" wrapText="1"/>
    </xf>
    <xf numFmtId="1" fontId="25" fillId="9" borderId="62" xfId="0" applyNumberFormat="1" applyFont="1" applyFill="1" applyBorder="1" applyAlignment="1">
      <alignment horizontal="right"/>
    </xf>
    <xf numFmtId="1" fontId="25" fillId="9" borderId="14" xfId="0" applyNumberFormat="1" applyFont="1" applyFill="1" applyBorder="1" applyAlignment="1">
      <alignment horizontal="right"/>
    </xf>
    <xf numFmtId="1" fontId="25" fillId="9" borderId="0" xfId="0" applyNumberFormat="1" applyFont="1" applyFill="1" applyBorder="1" applyAlignment="1">
      <alignment horizontal="right"/>
    </xf>
    <xf numFmtId="1" fontId="25" fillId="9" borderId="60" xfId="0" applyNumberFormat="1" applyFont="1" applyFill="1" applyBorder="1" applyAlignment="1">
      <alignment horizontal="right"/>
    </xf>
    <xf numFmtId="0" fontId="25" fillId="10" borderId="44" xfId="0" applyFont="1" applyFill="1" applyBorder="1" applyAlignment="1">
      <alignment horizontal="center" vertical="center" wrapText="1"/>
    </xf>
    <xf numFmtId="0" fontId="25" fillId="10" borderId="19"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66" fillId="24" borderId="1" xfId="0" applyNumberFormat="1" applyFont="1" applyFill="1" applyBorder="1" applyAlignment="1">
      <alignment horizontal="left" vertical="center"/>
    </xf>
    <xf numFmtId="0" fontId="3" fillId="12" borderId="44" xfId="0" applyFont="1" applyFill="1" applyBorder="1" applyAlignment="1" applyProtection="1">
      <alignment horizontal="left" vertical="center"/>
      <protection locked="0"/>
    </xf>
    <xf numFmtId="0" fontId="3" fillId="12" borderId="19" xfId="0" applyFont="1" applyFill="1" applyBorder="1" applyAlignment="1" applyProtection="1">
      <alignment horizontal="left" vertical="center"/>
      <protection locked="0"/>
    </xf>
    <xf numFmtId="0" fontId="3" fillId="12" borderId="20" xfId="0" applyFont="1" applyFill="1" applyBorder="1" applyAlignment="1" applyProtection="1">
      <alignment horizontal="left" vertical="center"/>
      <protection locked="0"/>
    </xf>
    <xf numFmtId="0" fontId="25" fillId="11" borderId="44" xfId="0" applyFont="1" applyFill="1" applyBorder="1" applyAlignment="1" applyProtection="1">
      <alignment horizontal="left" vertical="center" wrapText="1"/>
      <protection locked="0"/>
    </xf>
    <xf numFmtId="0" fontId="25" fillId="11" borderId="19" xfId="0" applyFont="1" applyFill="1" applyBorder="1" applyAlignment="1" applyProtection="1">
      <alignment horizontal="left" vertical="center" wrapText="1"/>
      <protection locked="0"/>
    </xf>
    <xf numFmtId="0" fontId="25" fillId="11" borderId="20" xfId="0" applyFont="1" applyFill="1" applyBorder="1" applyAlignment="1" applyProtection="1">
      <alignment horizontal="left" vertical="center" wrapText="1"/>
      <protection locked="0"/>
    </xf>
    <xf numFmtId="0" fontId="42" fillId="9" borderId="49" xfId="0" applyFont="1" applyFill="1" applyBorder="1" applyAlignment="1" applyProtection="1">
      <alignment horizontal="left" vertical="center"/>
    </xf>
    <xf numFmtId="0" fontId="42" fillId="9" borderId="50" xfId="0" applyFont="1" applyFill="1" applyBorder="1" applyAlignment="1" applyProtection="1">
      <alignment horizontal="left" vertical="center"/>
    </xf>
    <xf numFmtId="0" fontId="42" fillId="9" borderId="51" xfId="0" applyFont="1" applyFill="1" applyBorder="1" applyAlignment="1" applyProtection="1">
      <alignment horizontal="left" vertical="center"/>
    </xf>
    <xf numFmtId="0" fontId="6" fillId="9" borderId="82" xfId="0" applyFont="1" applyFill="1" applyBorder="1" applyAlignment="1">
      <alignment horizontal="left" vertical="center" wrapText="1"/>
    </xf>
    <xf numFmtId="0" fontId="6" fillId="9" borderId="71" xfId="0" applyFont="1" applyFill="1" applyBorder="1" applyAlignment="1">
      <alignment horizontal="left" vertical="center" wrapText="1"/>
    </xf>
    <xf numFmtId="0" fontId="6" fillId="9" borderId="83" xfId="0" applyFont="1" applyFill="1" applyBorder="1" applyAlignment="1">
      <alignment horizontal="left" vertical="center" wrapText="1"/>
    </xf>
    <xf numFmtId="0" fontId="4" fillId="9" borderId="10" xfId="0" applyFont="1" applyFill="1" applyBorder="1" applyAlignment="1">
      <alignment horizontal="center" wrapText="1"/>
    </xf>
    <xf numFmtId="0" fontId="25" fillId="10" borderId="14" xfId="0" applyFont="1" applyFill="1" applyBorder="1" applyAlignment="1">
      <alignment horizontal="center" vertical="center" wrapText="1"/>
    </xf>
    <xf numFmtId="0" fontId="25" fillId="10" borderId="38" xfId="0" applyFont="1" applyFill="1" applyBorder="1" applyAlignment="1">
      <alignment horizontal="center" vertical="center" wrapText="1"/>
    </xf>
    <xf numFmtId="0" fontId="25" fillId="10" borderId="17"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9" borderId="62" xfId="0" applyFont="1" applyFill="1" applyBorder="1" applyAlignment="1">
      <alignment horizontal="left"/>
    </xf>
    <xf numFmtId="0" fontId="25" fillId="9" borderId="14" xfId="0" applyFont="1" applyFill="1" applyBorder="1" applyAlignment="1">
      <alignment horizontal="left"/>
    </xf>
    <xf numFmtId="0" fontId="25" fillId="9" borderId="38" xfId="0" applyFont="1" applyFill="1" applyBorder="1" applyAlignment="1">
      <alignment horizontal="left"/>
    </xf>
    <xf numFmtId="0" fontId="25" fillId="9" borderId="17" xfId="0" applyFont="1" applyFill="1" applyBorder="1" applyAlignment="1">
      <alignment horizontal="left"/>
    </xf>
    <xf numFmtId="0" fontId="25" fillId="9" borderId="18" xfId="0" applyFont="1" applyFill="1" applyBorder="1" applyAlignment="1">
      <alignment horizontal="left"/>
    </xf>
    <xf numFmtId="0" fontId="25" fillId="9" borderId="13" xfId="0" applyFont="1" applyFill="1" applyBorder="1" applyAlignment="1">
      <alignment horizontal="left"/>
    </xf>
    <xf numFmtId="0" fontId="4" fillId="11" borderId="44" xfId="0" applyNumberFormat="1" applyFont="1" applyFill="1" applyBorder="1" applyAlignment="1" applyProtection="1">
      <alignment horizontal="right" wrapText="1"/>
      <protection locked="0"/>
    </xf>
    <xf numFmtId="0" fontId="4" fillId="11" borderId="19" xfId="0" applyNumberFormat="1" applyFont="1" applyFill="1" applyBorder="1" applyAlignment="1" applyProtection="1">
      <alignment horizontal="right" wrapText="1"/>
      <protection locked="0"/>
    </xf>
    <xf numFmtId="0" fontId="25" fillId="10" borderId="44" xfId="0" applyFont="1" applyFill="1" applyBorder="1" applyAlignment="1">
      <alignment horizontal="center" wrapText="1"/>
    </xf>
    <xf numFmtId="0" fontId="25" fillId="10" borderId="19" xfId="0" applyFont="1" applyFill="1" applyBorder="1" applyAlignment="1">
      <alignment horizontal="center" wrapText="1"/>
    </xf>
    <xf numFmtId="0" fontId="25" fillId="10" borderId="20" xfId="0" applyFont="1" applyFill="1" applyBorder="1" applyAlignment="1">
      <alignment horizontal="center" wrapText="1"/>
    </xf>
    <xf numFmtId="0" fontId="6" fillId="9" borderId="84"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85" xfId="0" applyFont="1" applyFill="1" applyBorder="1" applyAlignment="1">
      <alignment horizontal="left" vertical="center" wrapText="1"/>
    </xf>
    <xf numFmtId="0" fontId="25" fillId="10" borderId="44" xfId="0" applyFont="1" applyFill="1" applyBorder="1" applyAlignment="1">
      <alignment horizontal="center" vertical="center"/>
    </xf>
    <xf numFmtId="0" fontId="25" fillId="10" borderId="19" xfId="0" applyFont="1" applyFill="1" applyBorder="1" applyAlignment="1">
      <alignment horizontal="center" vertical="center"/>
    </xf>
    <xf numFmtId="0" fontId="25" fillId="10" borderId="20" xfId="0" applyFont="1" applyFill="1" applyBorder="1" applyAlignment="1">
      <alignment horizontal="center" vertical="center"/>
    </xf>
    <xf numFmtId="0" fontId="38" fillId="12" borderId="44" xfId="0" applyNumberFormat="1" applyFont="1" applyFill="1" applyBorder="1" applyAlignment="1" applyProtection="1">
      <alignment wrapText="1"/>
      <protection locked="0"/>
    </xf>
    <xf numFmtId="0" fontId="38" fillId="12" borderId="19" xfId="0" applyNumberFormat="1" applyFont="1" applyFill="1" applyBorder="1" applyAlignment="1" applyProtection="1">
      <alignment wrapText="1"/>
      <protection locked="0"/>
    </xf>
    <xf numFmtId="0" fontId="38" fillId="12" borderId="20" xfId="0" applyNumberFormat="1" applyFont="1" applyFill="1" applyBorder="1" applyAlignment="1" applyProtection="1">
      <alignment wrapText="1"/>
      <protection locked="0"/>
    </xf>
    <xf numFmtId="0" fontId="38" fillId="12" borderId="44" xfId="0" applyNumberFormat="1" applyFont="1" applyFill="1" applyBorder="1" applyAlignment="1" applyProtection="1">
      <alignment horizontal="center" wrapText="1"/>
      <protection locked="0"/>
    </xf>
    <xf numFmtId="0" fontId="38" fillId="12" borderId="19" xfId="0" applyNumberFormat="1" applyFont="1" applyFill="1" applyBorder="1" applyAlignment="1" applyProtection="1">
      <alignment horizontal="center" wrapText="1"/>
      <protection locked="0"/>
    </xf>
    <xf numFmtId="0" fontId="38" fillId="12" borderId="20" xfId="0" applyNumberFormat="1" applyFont="1" applyFill="1" applyBorder="1" applyAlignment="1" applyProtection="1">
      <alignment horizontal="center" wrapText="1"/>
      <protection locked="0"/>
    </xf>
    <xf numFmtId="0" fontId="0" fillId="11" borderId="44" xfId="0" applyNumberFormat="1" applyFill="1" applyBorder="1" applyAlignment="1" applyProtection="1">
      <alignment horizontal="center" wrapText="1"/>
      <protection locked="0"/>
    </xf>
    <xf numFmtId="0" fontId="0" fillId="11" borderId="19" xfId="0" applyNumberFormat="1" applyFill="1" applyBorder="1" applyAlignment="1" applyProtection="1">
      <alignment horizontal="center" wrapText="1"/>
      <protection locked="0"/>
    </xf>
    <xf numFmtId="0" fontId="0" fillId="11" borderId="20" xfId="0" applyNumberFormat="1" applyFill="1" applyBorder="1" applyAlignment="1" applyProtection="1">
      <alignment horizontal="center" wrapText="1"/>
      <protection locked="0"/>
    </xf>
    <xf numFmtId="0" fontId="3" fillId="9" borderId="35"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26" fillId="12" borderId="44" xfId="0" applyNumberFormat="1" applyFont="1" applyFill="1" applyBorder="1" applyAlignment="1" applyProtection="1">
      <alignment horizontal="center" vertical="center" wrapText="1"/>
      <protection locked="0"/>
    </xf>
    <xf numFmtId="0" fontId="0" fillId="11" borderId="10" xfId="0" applyNumberFormat="1" applyFill="1" applyBorder="1" applyAlignment="1" applyProtection="1">
      <alignment horizontal="left" wrapText="1"/>
      <protection locked="0"/>
    </xf>
    <xf numFmtId="0" fontId="0" fillId="11" borderId="5" xfId="0" applyNumberFormat="1" applyFill="1" applyBorder="1" applyAlignment="1" applyProtection="1">
      <alignment horizontal="left" wrapText="1"/>
      <protection locked="0"/>
    </xf>
    <xf numFmtId="0" fontId="0" fillId="11" borderId="6" xfId="0" applyNumberFormat="1" applyFill="1" applyBorder="1" applyAlignment="1" applyProtection="1">
      <alignment horizontal="left" wrapText="1"/>
      <protection locked="0"/>
    </xf>
    <xf numFmtId="0" fontId="5" fillId="10" borderId="17" xfId="0" applyNumberFormat="1" applyFont="1" applyFill="1" applyBorder="1" applyAlignment="1">
      <alignment horizontal="center" vertical="top" wrapText="1"/>
    </xf>
    <xf numFmtId="0" fontId="5" fillId="10" borderId="18" xfId="0" applyNumberFormat="1" applyFont="1" applyFill="1" applyBorder="1" applyAlignment="1">
      <alignment horizontal="center" vertical="top" wrapText="1"/>
    </xf>
    <xf numFmtId="0" fontId="5" fillId="10" borderId="13" xfId="0" applyNumberFormat="1" applyFont="1" applyFill="1" applyBorder="1" applyAlignment="1">
      <alignment horizontal="center" vertical="top" wrapText="1"/>
    </xf>
    <xf numFmtId="2" fontId="3" fillId="11" borderId="10" xfId="0" applyNumberFormat="1" applyFont="1" applyFill="1" applyBorder="1" applyAlignment="1" applyProtection="1">
      <alignment horizontal="left" wrapText="1"/>
      <protection locked="0"/>
    </xf>
    <xf numFmtId="2" fontId="3" fillId="11" borderId="5" xfId="0" applyNumberFormat="1" applyFont="1" applyFill="1" applyBorder="1" applyAlignment="1" applyProtection="1">
      <alignment horizontal="left" wrapText="1"/>
      <protection locked="0"/>
    </xf>
    <xf numFmtId="2" fontId="3" fillId="11" borderId="6" xfId="0" applyNumberFormat="1" applyFont="1" applyFill="1" applyBorder="1" applyAlignment="1" applyProtection="1">
      <alignment horizontal="left" wrapText="1"/>
      <protection locked="0"/>
    </xf>
    <xf numFmtId="0" fontId="6" fillId="10" borderId="1"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4" fillId="12" borderId="56" xfId="0" applyNumberFormat="1" applyFont="1" applyFill="1" applyBorder="1" applyAlignment="1" applyProtection="1">
      <alignment horizontal="center" vertical="center" wrapText="1"/>
      <protection locked="0"/>
    </xf>
    <xf numFmtId="0" fontId="4" fillId="12" borderId="57" xfId="0" applyNumberFormat="1" applyFont="1" applyFill="1" applyBorder="1" applyAlignment="1" applyProtection="1">
      <alignment horizontal="center" vertical="center" wrapText="1"/>
      <protection locked="0"/>
    </xf>
    <xf numFmtId="0" fontId="4" fillId="12" borderId="4" xfId="0" applyNumberFormat="1" applyFont="1" applyFill="1" applyBorder="1" applyAlignment="1" applyProtection="1">
      <alignment horizontal="center" vertical="center" wrapText="1"/>
      <protection locked="0"/>
    </xf>
    <xf numFmtId="0" fontId="4" fillId="12" borderId="47" xfId="0" applyNumberFormat="1" applyFont="1" applyFill="1" applyBorder="1" applyAlignment="1" applyProtection="1">
      <alignment horizontal="center" vertical="center" wrapText="1"/>
      <protection locked="0"/>
    </xf>
    <xf numFmtId="0" fontId="3" fillId="9" borderId="35" xfId="0" applyFont="1" applyFill="1" applyBorder="1" applyAlignment="1">
      <alignment vertical="center" wrapText="1"/>
    </xf>
    <xf numFmtId="0" fontId="3" fillId="9" borderId="1" xfId="0" applyFont="1" applyFill="1" applyBorder="1" applyAlignment="1">
      <alignment vertical="center" wrapText="1"/>
    </xf>
    <xf numFmtId="0" fontId="3" fillId="9" borderId="23" xfId="0" applyFont="1" applyFill="1" applyBorder="1" applyAlignment="1">
      <alignment vertical="center" wrapText="1"/>
    </xf>
    <xf numFmtId="0" fontId="3" fillId="9" borderId="2" xfId="0" applyFont="1" applyFill="1" applyBorder="1" applyAlignment="1">
      <alignment vertical="center" wrapText="1"/>
    </xf>
    <xf numFmtId="0" fontId="3" fillId="9" borderId="0" xfId="0" applyFont="1" applyFill="1" applyBorder="1" applyAlignment="1">
      <alignment vertical="center" wrapText="1"/>
    </xf>
    <xf numFmtId="0" fontId="3" fillId="9" borderId="39" xfId="0" applyFont="1" applyFill="1" applyBorder="1" applyAlignment="1">
      <alignment vertical="center" wrapText="1"/>
    </xf>
    <xf numFmtId="0" fontId="3" fillId="9" borderId="22" xfId="0" applyFont="1" applyFill="1" applyBorder="1" applyAlignment="1">
      <alignment vertical="center" wrapText="1"/>
    </xf>
    <xf numFmtId="0" fontId="3" fillId="9" borderId="12" xfId="0" applyFont="1" applyFill="1" applyBorder="1" applyAlignment="1">
      <alignment vertical="center" wrapText="1"/>
    </xf>
    <xf numFmtId="0" fontId="3" fillId="9" borderId="11" xfId="0" applyFont="1" applyFill="1" applyBorder="1" applyAlignment="1">
      <alignment vertical="center" wrapText="1"/>
    </xf>
    <xf numFmtId="0" fontId="3" fillId="9" borderId="35" xfId="0" applyNumberFormat="1" applyFont="1" applyFill="1" applyBorder="1" applyAlignment="1">
      <alignment wrapText="1"/>
    </xf>
    <xf numFmtId="0" fontId="3" fillId="9" borderId="1" xfId="0" applyNumberFormat="1" applyFont="1" applyFill="1" applyBorder="1" applyAlignment="1">
      <alignment wrapText="1"/>
    </xf>
    <xf numFmtId="0" fontId="3" fillId="9" borderId="23" xfId="0" applyNumberFormat="1" applyFont="1" applyFill="1" applyBorder="1" applyAlignment="1">
      <alignment wrapText="1"/>
    </xf>
    <xf numFmtId="0" fontId="3" fillId="9" borderId="22" xfId="0" applyNumberFormat="1" applyFont="1" applyFill="1" applyBorder="1" applyAlignment="1">
      <alignment wrapText="1"/>
    </xf>
    <xf numFmtId="0" fontId="3" fillId="9" borderId="12" xfId="0" applyNumberFormat="1" applyFont="1" applyFill="1" applyBorder="1" applyAlignment="1">
      <alignment wrapText="1"/>
    </xf>
    <xf numFmtId="0" fontId="3" fillId="9" borderId="11" xfId="0" applyNumberFormat="1" applyFont="1" applyFill="1" applyBorder="1" applyAlignment="1">
      <alignment wrapText="1"/>
    </xf>
    <xf numFmtId="0" fontId="3" fillId="9" borderId="10" xfId="0" applyFont="1" applyFill="1" applyBorder="1" applyAlignment="1">
      <alignment wrapText="1"/>
    </xf>
    <xf numFmtId="0" fontId="3" fillId="9" borderId="5" xfId="0" applyFont="1" applyFill="1" applyBorder="1" applyAlignment="1">
      <alignment wrapText="1"/>
    </xf>
    <xf numFmtId="0" fontId="3" fillId="9" borderId="6" xfId="0" applyFont="1" applyFill="1" applyBorder="1" applyAlignment="1">
      <alignment wrapText="1"/>
    </xf>
    <xf numFmtId="0" fontId="4" fillId="9" borderId="35" xfId="0" applyFont="1" applyFill="1" applyBorder="1" applyAlignment="1">
      <alignment horizontal="left" vertical="top"/>
    </xf>
    <xf numFmtId="0" fontId="4" fillId="9" borderId="1" xfId="0" applyFont="1" applyFill="1" applyBorder="1" applyAlignment="1">
      <alignment horizontal="left" vertical="top"/>
    </xf>
    <xf numFmtId="0" fontId="4" fillId="9" borderId="23" xfId="0" applyFont="1" applyFill="1" applyBorder="1" applyAlignment="1">
      <alignment horizontal="left" vertical="top"/>
    </xf>
    <xf numFmtId="0" fontId="0" fillId="9" borderId="10" xfId="0" applyFill="1" applyBorder="1" applyAlignment="1">
      <alignment horizontal="left"/>
    </xf>
    <xf numFmtId="0" fontId="0" fillId="9" borderId="5" xfId="0" applyFill="1" applyBorder="1" applyAlignment="1">
      <alignment horizontal="left"/>
    </xf>
    <xf numFmtId="0" fontId="0" fillId="9" borderId="6" xfId="0" applyFill="1" applyBorder="1" applyAlignment="1">
      <alignment horizontal="left"/>
    </xf>
    <xf numFmtId="0" fontId="3" fillId="9" borderId="35" xfId="0" applyFont="1" applyFill="1" applyBorder="1" applyAlignment="1">
      <alignment vertical="top" wrapText="1"/>
    </xf>
    <xf numFmtId="0" fontId="0" fillId="9" borderId="1" xfId="0" applyFill="1" applyBorder="1" applyAlignment="1">
      <alignment vertical="top" wrapText="1"/>
    </xf>
    <xf numFmtId="0" fontId="0" fillId="9" borderId="23" xfId="0" applyFill="1" applyBorder="1" applyAlignment="1">
      <alignment vertical="top" wrapText="1"/>
    </xf>
    <xf numFmtId="0" fontId="0" fillId="9" borderId="2" xfId="0" applyFill="1" applyBorder="1" applyAlignment="1">
      <alignment vertical="top" wrapText="1"/>
    </xf>
    <xf numFmtId="0" fontId="0" fillId="9" borderId="0" xfId="0" applyFill="1" applyBorder="1" applyAlignment="1">
      <alignment vertical="top" wrapText="1"/>
    </xf>
    <xf numFmtId="0" fontId="0" fillId="9" borderId="39" xfId="0" applyFill="1" applyBorder="1" applyAlignment="1">
      <alignment vertical="top" wrapText="1"/>
    </xf>
    <xf numFmtId="0" fontId="0" fillId="9" borderId="22" xfId="0" applyFill="1" applyBorder="1" applyAlignment="1">
      <alignment vertical="top" wrapText="1"/>
    </xf>
    <xf numFmtId="0" fontId="0" fillId="9" borderId="12" xfId="0" applyFill="1" applyBorder="1" applyAlignment="1">
      <alignment vertical="top" wrapText="1"/>
    </xf>
    <xf numFmtId="0" fontId="0" fillId="9" borderId="11" xfId="0" applyFill="1" applyBorder="1" applyAlignment="1">
      <alignment vertical="top" wrapText="1"/>
    </xf>
    <xf numFmtId="0" fontId="17" fillId="9" borderId="2" xfId="0" applyFont="1" applyFill="1" applyBorder="1" applyAlignment="1">
      <alignment horizontal="center" vertical="top" wrapText="1"/>
    </xf>
    <xf numFmtId="0" fontId="50" fillId="9" borderId="2" xfId="0" applyFont="1" applyFill="1" applyBorder="1" applyAlignment="1">
      <alignment horizontal="left" vertical="top" wrapText="1"/>
    </xf>
    <xf numFmtId="0" fontId="50" fillId="9" borderId="0" xfId="0" applyFont="1" applyFill="1" applyBorder="1" applyAlignment="1">
      <alignment horizontal="left" vertical="top" wrapText="1"/>
    </xf>
    <xf numFmtId="0" fontId="50" fillId="9" borderId="39" xfId="0" applyFont="1" applyFill="1" applyBorder="1" applyAlignment="1">
      <alignment horizontal="left" vertical="top" wrapText="1"/>
    </xf>
    <xf numFmtId="0" fontId="50" fillId="9" borderId="22" xfId="0" applyFont="1" applyFill="1" applyBorder="1" applyAlignment="1">
      <alignment horizontal="left" vertical="top" wrapText="1"/>
    </xf>
    <xf numFmtId="0" fontId="50" fillId="9" borderId="12" xfId="0" applyFont="1" applyFill="1" applyBorder="1" applyAlignment="1">
      <alignment horizontal="left" vertical="top" wrapText="1"/>
    </xf>
    <xf numFmtId="0" fontId="50" fillId="9" borderId="11" xfId="0" applyFont="1" applyFill="1" applyBorder="1" applyAlignment="1">
      <alignment horizontal="left" vertical="top" wrapText="1"/>
    </xf>
    <xf numFmtId="0" fontId="5" fillId="10" borderId="22" xfId="0" applyFont="1" applyFill="1" applyBorder="1" applyAlignment="1">
      <alignment horizontal="center" vertical="top"/>
    </xf>
    <xf numFmtId="0" fontId="5" fillId="10" borderId="12" xfId="0" applyFont="1" applyFill="1" applyBorder="1" applyAlignment="1">
      <alignment horizontal="center" vertical="top"/>
    </xf>
    <xf numFmtId="0" fontId="5" fillId="10" borderId="11" xfId="0" applyFont="1" applyFill="1" applyBorder="1" applyAlignment="1">
      <alignment horizontal="center" vertical="top"/>
    </xf>
    <xf numFmtId="0" fontId="25" fillId="9" borderId="44" xfId="0" applyFont="1" applyFill="1" applyBorder="1" applyAlignment="1" applyProtection="1">
      <alignment horizontal="center"/>
      <protection locked="0"/>
    </xf>
    <xf numFmtId="0" fontId="25" fillId="9" borderId="19" xfId="0" applyFont="1" applyFill="1" applyBorder="1" applyAlignment="1" applyProtection="1">
      <alignment horizontal="center"/>
      <protection locked="0"/>
    </xf>
    <xf numFmtId="0" fontId="25" fillId="9" borderId="20" xfId="0" applyFont="1" applyFill="1" applyBorder="1" applyAlignment="1" applyProtection="1">
      <alignment horizontal="center"/>
      <protection locked="0"/>
    </xf>
    <xf numFmtId="0" fontId="7" fillId="10" borderId="2" xfId="0" applyFont="1" applyFill="1" applyBorder="1" applyAlignment="1">
      <alignment horizontal="center" vertical="top" wrapText="1"/>
    </xf>
    <xf numFmtId="0" fontId="7" fillId="10" borderId="0" xfId="0" applyFont="1" applyFill="1" applyBorder="1" applyAlignment="1">
      <alignment horizontal="center" vertical="top" wrapText="1"/>
    </xf>
    <xf numFmtId="0" fontId="7" fillId="10" borderId="39" xfId="0" applyFont="1" applyFill="1" applyBorder="1" applyAlignment="1">
      <alignment horizontal="center" vertical="top" wrapText="1"/>
    </xf>
    <xf numFmtId="0" fontId="23" fillId="9" borderId="69" xfId="0" applyFont="1" applyFill="1" applyBorder="1" applyAlignment="1" applyProtection="1">
      <alignment horizontal="center"/>
    </xf>
    <xf numFmtId="0" fontId="23" fillId="9" borderId="19" xfId="0" applyFont="1" applyFill="1" applyBorder="1" applyAlignment="1" applyProtection="1">
      <alignment horizontal="center"/>
    </xf>
    <xf numFmtId="0" fontId="23" fillId="9" borderId="20" xfId="0" applyFont="1" applyFill="1" applyBorder="1" applyAlignment="1" applyProtection="1">
      <alignment horizontal="center"/>
    </xf>
    <xf numFmtId="0" fontId="25" fillId="9" borderId="69" xfId="0" applyFont="1" applyFill="1" applyBorder="1" applyAlignment="1" applyProtection="1">
      <alignment horizontal="left" wrapText="1"/>
      <protection locked="0"/>
    </xf>
    <xf numFmtId="0" fontId="26" fillId="9" borderId="35" xfId="0" applyFont="1" applyFill="1" applyBorder="1" applyAlignment="1">
      <alignment horizontal="center" wrapText="1"/>
    </xf>
    <xf numFmtId="0" fontId="26" fillId="9" borderId="1" xfId="0" applyFont="1" applyFill="1" applyBorder="1" applyAlignment="1">
      <alignment horizontal="center" wrapText="1"/>
    </xf>
    <xf numFmtId="0" fontId="26" fillId="9" borderId="23" xfId="0" applyFont="1" applyFill="1" applyBorder="1" applyAlignment="1">
      <alignment horizontal="center" wrapText="1"/>
    </xf>
    <xf numFmtId="0" fontId="26" fillId="9" borderId="2" xfId="0" applyFont="1" applyFill="1" applyBorder="1" applyAlignment="1">
      <alignment horizontal="center" wrapText="1"/>
    </xf>
    <xf numFmtId="0" fontId="26" fillId="9" borderId="0" xfId="0" applyFont="1" applyFill="1" applyBorder="1" applyAlignment="1">
      <alignment horizontal="center" wrapText="1"/>
    </xf>
    <xf numFmtId="0" fontId="26" fillId="9" borderId="39" xfId="0" applyFont="1" applyFill="1" applyBorder="1" applyAlignment="1">
      <alignment horizontal="center" wrapText="1"/>
    </xf>
    <xf numFmtId="0" fontId="42" fillId="9" borderId="2" xfId="0" applyFont="1" applyFill="1" applyBorder="1" applyAlignment="1">
      <alignment horizontal="center" vertical="top" wrapText="1"/>
    </xf>
    <xf numFmtId="0" fontId="42" fillId="9" borderId="0" xfId="0" applyFont="1" applyFill="1" applyBorder="1" applyAlignment="1">
      <alignment horizontal="center" vertical="top" wrapText="1"/>
    </xf>
    <xf numFmtId="0" fontId="42" fillId="9" borderId="39" xfId="0" applyFont="1" applyFill="1" applyBorder="1" applyAlignment="1">
      <alignment horizontal="center" vertical="top" wrapText="1"/>
    </xf>
    <xf numFmtId="0" fontId="42" fillId="9" borderId="22" xfId="0" applyFont="1" applyFill="1" applyBorder="1" applyAlignment="1">
      <alignment horizontal="center" vertical="top" wrapText="1"/>
    </xf>
    <xf numFmtId="0" fontId="42" fillId="9" borderId="12" xfId="0" applyFont="1" applyFill="1" applyBorder="1" applyAlignment="1">
      <alignment horizontal="center" vertical="top" wrapText="1"/>
    </xf>
    <xf numFmtId="0" fontId="42" fillId="9" borderId="11" xfId="0" applyFont="1" applyFill="1" applyBorder="1" applyAlignment="1">
      <alignment horizontal="center" vertical="top" wrapText="1"/>
    </xf>
    <xf numFmtId="0" fontId="3" fillId="10" borderId="35"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4" fillId="9" borderId="0" xfId="0" applyFont="1" applyFill="1" applyAlignment="1">
      <alignment horizontal="left" wrapText="1"/>
    </xf>
    <xf numFmtId="0" fontId="23" fillId="19" borderId="79" xfId="0" applyNumberFormat="1" applyFont="1" applyFill="1" applyBorder="1"/>
    <xf numFmtId="0" fontId="23" fillId="19" borderId="72" xfId="0" applyNumberFormat="1" applyFont="1" applyFill="1" applyBorder="1"/>
    <xf numFmtId="0" fontId="0" fillId="11" borderId="22" xfId="0" applyNumberFormat="1" applyFill="1" applyBorder="1" applyAlignment="1" applyProtection="1">
      <alignment wrapText="1"/>
      <protection locked="0"/>
    </xf>
    <xf numFmtId="0" fontId="0" fillId="11" borderId="12" xfId="0" applyNumberFormat="1" applyFill="1" applyBorder="1" applyAlignment="1" applyProtection="1">
      <alignment wrapText="1"/>
      <protection locked="0"/>
    </xf>
    <xf numFmtId="0" fontId="0" fillId="11" borderId="11" xfId="0" applyNumberFormat="1" applyFill="1" applyBorder="1" applyAlignment="1" applyProtection="1">
      <alignment wrapText="1"/>
      <protection locked="0"/>
    </xf>
    <xf numFmtId="0" fontId="3" fillId="9" borderId="17" xfId="0" applyFont="1" applyFill="1" applyBorder="1" applyAlignment="1">
      <alignment horizontal="left"/>
    </xf>
    <xf numFmtId="0" fontId="3" fillId="9" borderId="18" xfId="0" applyFont="1" applyFill="1" applyBorder="1" applyAlignment="1">
      <alignment horizontal="left"/>
    </xf>
    <xf numFmtId="0" fontId="3" fillId="9" borderId="68" xfId="0" applyFont="1" applyFill="1" applyBorder="1" applyAlignment="1">
      <alignment horizontal="left"/>
    </xf>
    <xf numFmtId="169" fontId="25" fillId="11" borderId="70" xfId="0" applyNumberFormat="1" applyFont="1" applyFill="1" applyBorder="1" applyAlignment="1" applyProtection="1">
      <alignment horizontal="left"/>
      <protection locked="0"/>
    </xf>
    <xf numFmtId="169" fontId="25" fillId="11" borderId="71" xfId="0" applyNumberFormat="1" applyFont="1" applyFill="1" applyBorder="1" applyAlignment="1" applyProtection="1">
      <alignment horizontal="left"/>
      <protection locked="0"/>
    </xf>
    <xf numFmtId="169" fontId="25" fillId="11" borderId="72" xfId="0" applyNumberFormat="1" applyFont="1" applyFill="1" applyBorder="1" applyAlignment="1" applyProtection="1">
      <alignment horizontal="left"/>
      <protection locked="0"/>
    </xf>
    <xf numFmtId="170" fontId="25" fillId="9" borderId="0" xfId="0" applyNumberFormat="1" applyFont="1" applyFill="1" applyBorder="1" applyAlignment="1" applyProtection="1">
      <alignment horizontal="center" vertical="center" wrapText="1"/>
      <protection locked="0"/>
    </xf>
    <xf numFmtId="44" fontId="38" fillId="9" borderId="35" xfId="28" applyFont="1" applyFill="1" applyBorder="1" applyAlignment="1">
      <alignment horizontal="center" wrapText="1"/>
    </xf>
    <xf numFmtId="44" fontId="38" fillId="9" borderId="1" xfId="28" applyFont="1" applyFill="1" applyBorder="1" applyAlignment="1">
      <alignment horizontal="center" wrapText="1"/>
    </xf>
    <xf numFmtId="44" fontId="38" fillId="9" borderId="23" xfId="28" applyFont="1" applyFill="1" applyBorder="1" applyAlignment="1">
      <alignment horizontal="center" wrapText="1"/>
    </xf>
    <xf numFmtId="44" fontId="38" fillId="9" borderId="2" xfId="28" applyFont="1" applyFill="1" applyBorder="1" applyAlignment="1">
      <alignment horizontal="center" wrapText="1"/>
    </xf>
    <xf numFmtId="44" fontId="38" fillId="9" borderId="0" xfId="28" applyFont="1" applyFill="1" applyBorder="1" applyAlignment="1">
      <alignment horizontal="center" wrapText="1"/>
    </xf>
    <xf numFmtId="44" fontId="38" fillId="9" borderId="39" xfId="28" applyFont="1" applyFill="1" applyBorder="1" applyAlignment="1">
      <alignment horizontal="center" wrapText="1"/>
    </xf>
    <xf numFmtId="44" fontId="42" fillId="9" borderId="22" xfId="28" applyFont="1" applyFill="1" applyBorder="1" applyAlignment="1">
      <alignment horizontal="center" vertical="top" wrapText="1"/>
    </xf>
    <xf numFmtId="44" fontId="42" fillId="9" borderId="12" xfId="28" applyFont="1" applyFill="1" applyBorder="1" applyAlignment="1">
      <alignment horizontal="center" vertical="top" wrapText="1"/>
    </xf>
    <xf numFmtId="44" fontId="42" fillId="9" borderId="11" xfId="28" applyFont="1" applyFill="1" applyBorder="1" applyAlignment="1">
      <alignment horizontal="center" vertical="top" wrapText="1"/>
    </xf>
    <xf numFmtId="0" fontId="4" fillId="9" borderId="0" xfId="0" applyFont="1" applyFill="1" applyBorder="1" applyAlignment="1"/>
    <xf numFmtId="0" fontId="9" fillId="25" borderId="86" xfId="0" applyFont="1" applyFill="1" applyBorder="1" applyAlignment="1">
      <alignment horizontal="center" vertical="center" wrapText="1"/>
    </xf>
    <xf numFmtId="0" fontId="9" fillId="25" borderId="0" xfId="0" applyFont="1" applyFill="1" applyBorder="1" applyAlignment="1">
      <alignment horizontal="center" vertical="center" wrapText="1"/>
    </xf>
    <xf numFmtId="0" fontId="9" fillId="25" borderId="87" xfId="0" applyFont="1" applyFill="1" applyBorder="1" applyAlignment="1">
      <alignment horizontal="center" vertical="center" wrapText="1"/>
    </xf>
    <xf numFmtId="0" fontId="9" fillId="25" borderId="88" xfId="0" applyFont="1" applyFill="1" applyBorder="1" applyAlignment="1">
      <alignment horizontal="center" vertical="center" wrapText="1"/>
    </xf>
    <xf numFmtId="0" fontId="9" fillId="25" borderId="89" xfId="0" applyFont="1" applyFill="1" applyBorder="1" applyAlignment="1">
      <alignment horizontal="center" vertical="center" wrapText="1"/>
    </xf>
    <xf numFmtId="0" fontId="9" fillId="25" borderId="90" xfId="0" applyFont="1" applyFill="1" applyBorder="1" applyAlignment="1">
      <alignment horizontal="center" vertical="center" wrapText="1"/>
    </xf>
    <xf numFmtId="0" fontId="9" fillId="25" borderId="91" xfId="0" applyFont="1" applyFill="1" applyBorder="1" applyAlignment="1">
      <alignment horizontal="center" vertical="center" wrapText="1"/>
    </xf>
    <xf numFmtId="0" fontId="23" fillId="9" borderId="0" xfId="0" applyFont="1" applyFill="1" applyBorder="1" applyAlignment="1" applyProtection="1">
      <alignment horizontal="center" vertical="center"/>
      <protection locked="0"/>
    </xf>
    <xf numFmtId="10" fontId="27" fillId="9" borderId="10" xfId="0" applyNumberFormat="1" applyFont="1" applyFill="1" applyBorder="1" applyAlignment="1" applyProtection="1">
      <alignment horizontal="center" wrapText="1"/>
      <protection locked="0"/>
    </xf>
    <xf numFmtId="10" fontId="27" fillId="9" borderId="5" xfId="0" applyNumberFormat="1" applyFont="1" applyFill="1" applyBorder="1" applyAlignment="1" applyProtection="1">
      <alignment horizontal="center" wrapText="1"/>
      <protection locked="0"/>
    </xf>
    <xf numFmtId="10" fontId="27" fillId="9" borderId="73" xfId="0" applyNumberFormat="1" applyFont="1" applyFill="1" applyBorder="1" applyAlignment="1" applyProtection="1">
      <alignment horizontal="center" wrapText="1"/>
      <protection locked="0"/>
    </xf>
    <xf numFmtId="0" fontId="4" fillId="9" borderId="0" xfId="0" applyFont="1" applyFill="1" applyBorder="1" applyAlignment="1">
      <alignment horizontal="left" vertical="top" wrapText="1"/>
    </xf>
    <xf numFmtId="0" fontId="25" fillId="26" borderId="44" xfId="0" applyNumberFormat="1" applyFont="1" applyFill="1" applyBorder="1" applyAlignment="1" applyProtection="1">
      <alignment horizontal="right"/>
    </xf>
    <xf numFmtId="0" fontId="25" fillId="26" borderId="19" xfId="0" applyNumberFormat="1" applyFont="1" applyFill="1" applyBorder="1" applyAlignment="1" applyProtection="1">
      <alignment horizontal="right"/>
    </xf>
    <xf numFmtId="0" fontId="0" fillId="0" borderId="19" xfId="0" applyNumberFormat="1" applyBorder="1" applyAlignment="1">
      <alignment horizontal="right"/>
    </xf>
    <xf numFmtId="0" fontId="0" fillId="0" borderId="20" xfId="0" applyNumberFormat="1" applyBorder="1" applyAlignment="1">
      <alignment horizontal="right"/>
    </xf>
    <xf numFmtId="0" fontId="7" fillId="10" borderId="1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0" xfId="0" applyFont="1" applyFill="1" applyAlignment="1">
      <alignment wrapText="1"/>
    </xf>
    <xf numFmtId="0" fontId="0" fillId="9" borderId="61" xfId="0" applyFill="1" applyBorder="1" applyAlignment="1">
      <alignment wrapText="1"/>
    </xf>
    <xf numFmtId="0" fontId="0" fillId="9" borderId="0" xfId="0" applyFill="1" applyBorder="1" applyAlignment="1">
      <alignment wrapText="1"/>
    </xf>
    <xf numFmtId="0" fontId="0" fillId="9" borderId="39" xfId="0" applyFill="1" applyBorder="1" applyAlignment="1">
      <alignment wrapText="1"/>
    </xf>
    <xf numFmtId="0" fontId="74" fillId="9" borderId="0" xfId="0" applyFont="1" applyFill="1" applyAlignment="1">
      <alignment horizontal="center" wrapText="1"/>
    </xf>
    <xf numFmtId="0" fontId="23" fillId="9" borderId="12" xfId="0" applyNumberFormat="1" applyFont="1" applyFill="1" applyBorder="1" applyProtection="1">
      <protection locked="0"/>
    </xf>
    <xf numFmtId="0" fontId="23" fillId="9" borderId="67" xfId="0" applyNumberFormat="1" applyFont="1" applyFill="1" applyBorder="1" applyProtection="1">
      <protection locked="0"/>
    </xf>
    <xf numFmtId="0" fontId="26" fillId="9" borderId="0" xfId="0" applyFont="1" applyFill="1" applyBorder="1" applyAlignment="1">
      <alignment horizontal="center" vertical="top" wrapText="1"/>
    </xf>
    <xf numFmtId="0" fontId="26" fillId="9" borderId="39" xfId="0" applyFont="1" applyFill="1" applyBorder="1" applyAlignment="1">
      <alignment horizontal="center" vertical="top" wrapText="1"/>
    </xf>
    <xf numFmtId="0" fontId="26" fillId="9" borderId="22" xfId="0" applyFont="1" applyFill="1" applyBorder="1" applyAlignment="1">
      <alignment horizontal="center" vertical="top" wrapText="1"/>
    </xf>
    <xf numFmtId="0" fontId="26" fillId="9" borderId="12" xfId="0" applyFont="1" applyFill="1" applyBorder="1" applyAlignment="1">
      <alignment horizontal="center" vertical="top" wrapText="1"/>
    </xf>
    <xf numFmtId="0" fontId="26" fillId="9" borderId="11" xfId="0" applyFont="1" applyFill="1" applyBorder="1" applyAlignment="1">
      <alignment horizontal="center" vertical="top" wrapText="1"/>
    </xf>
    <xf numFmtId="0" fontId="4" fillId="12" borderId="69" xfId="0" applyNumberFormat="1" applyFont="1" applyFill="1" applyBorder="1" applyAlignment="1" applyProtection="1">
      <alignment horizontal="center" wrapText="1"/>
      <protection locked="0"/>
    </xf>
    <xf numFmtId="0" fontId="4" fillId="12" borderId="19" xfId="0" applyNumberFormat="1" applyFont="1" applyFill="1" applyBorder="1" applyAlignment="1" applyProtection="1">
      <alignment horizontal="center" wrapText="1"/>
      <protection locked="0"/>
    </xf>
    <xf numFmtId="0" fontId="4" fillId="12" borderId="63" xfId="0" applyNumberFormat="1" applyFont="1" applyFill="1" applyBorder="1" applyAlignment="1" applyProtection="1">
      <alignment horizontal="center" wrapText="1"/>
      <protection locked="0"/>
    </xf>
    <xf numFmtId="0" fontId="23" fillId="9" borderId="12" xfId="0" applyNumberFormat="1" applyFont="1" applyFill="1" applyBorder="1" applyAlignment="1">
      <alignment horizontal="left"/>
    </xf>
    <xf numFmtId="0" fontId="2" fillId="11" borderId="10" xfId="0" applyNumberFormat="1" applyFont="1" applyFill="1" applyBorder="1" applyAlignment="1" applyProtection="1">
      <alignment wrapText="1"/>
      <protection locked="0"/>
    </xf>
    <xf numFmtId="0" fontId="2" fillId="11" borderId="5" xfId="0" applyNumberFormat="1" applyFont="1" applyFill="1" applyBorder="1" applyAlignment="1" applyProtection="1">
      <alignment wrapText="1"/>
      <protection locked="0"/>
    </xf>
    <xf numFmtId="0" fontId="2" fillId="11" borderId="6" xfId="0" applyNumberFormat="1" applyFont="1" applyFill="1" applyBorder="1" applyAlignment="1" applyProtection="1">
      <alignment wrapText="1"/>
      <protection locked="0"/>
    </xf>
    <xf numFmtId="0" fontId="7" fillId="9" borderId="35" xfId="0" applyFont="1" applyFill="1" applyBorder="1" applyAlignment="1">
      <alignment vertical="center" wrapText="1"/>
    </xf>
    <xf numFmtId="0" fontId="7" fillId="9" borderId="1" xfId="0" applyFont="1" applyFill="1" applyBorder="1" applyAlignment="1">
      <alignment vertical="center" wrapText="1"/>
    </xf>
    <xf numFmtId="0" fontId="7" fillId="9" borderId="22" xfId="0" applyFont="1" applyFill="1" applyBorder="1" applyAlignment="1">
      <alignment vertical="center" wrapText="1"/>
    </xf>
    <xf numFmtId="0" fontId="7" fillId="9" borderId="12" xfId="0" applyFont="1" applyFill="1" applyBorder="1" applyAlignment="1">
      <alignment vertical="center" wrapText="1"/>
    </xf>
    <xf numFmtId="0" fontId="3" fillId="9" borderId="5" xfId="0" applyFont="1" applyFill="1" applyBorder="1" applyAlignment="1">
      <alignment horizontal="right" wrapText="1" indent="1"/>
    </xf>
    <xf numFmtId="0" fontId="3" fillId="9" borderId="85" xfId="0" applyFont="1" applyFill="1" applyBorder="1" applyAlignment="1">
      <alignment horizontal="right" wrapText="1" indent="1"/>
    </xf>
    <xf numFmtId="2" fontId="23" fillId="9" borderId="26" xfId="0" applyNumberFormat="1" applyFont="1" applyFill="1" applyBorder="1" applyAlignment="1" applyProtection="1">
      <alignment horizontal="center" wrapText="1"/>
      <protection locked="0"/>
    </xf>
    <xf numFmtId="2" fontId="23" fillId="9" borderId="92" xfId="0" applyNumberFormat="1" applyFont="1" applyFill="1" applyBorder="1" applyAlignment="1" applyProtection="1">
      <alignment horizontal="center" wrapText="1"/>
      <protection locked="0"/>
    </xf>
    <xf numFmtId="2" fontId="23" fillId="9" borderId="93" xfId="0" applyNumberFormat="1" applyFont="1" applyFill="1" applyBorder="1" applyAlignment="1" applyProtection="1">
      <alignment horizontal="center" wrapText="1"/>
      <protection locked="0"/>
    </xf>
    <xf numFmtId="0" fontId="25" fillId="9" borderId="84" xfId="0" applyNumberFormat="1" applyFont="1" applyFill="1" applyBorder="1" applyAlignment="1" applyProtection="1">
      <alignment horizontal="left" wrapText="1"/>
      <protection locked="0"/>
    </xf>
    <xf numFmtId="0" fontId="25" fillId="11" borderId="64" xfId="0" applyNumberFormat="1" applyFont="1" applyFill="1" applyBorder="1" applyAlignment="1" applyProtection="1">
      <alignment horizontal="left"/>
      <protection locked="0"/>
    </xf>
    <xf numFmtId="0" fontId="25" fillId="11" borderId="50" xfId="0" applyNumberFormat="1" applyFont="1" applyFill="1" applyBorder="1" applyAlignment="1" applyProtection="1">
      <alignment horizontal="left"/>
      <protection locked="0"/>
    </xf>
    <xf numFmtId="0" fontId="25" fillId="11" borderId="80" xfId="0" applyNumberFormat="1" applyFont="1" applyFill="1" applyBorder="1" applyAlignment="1" applyProtection="1">
      <alignment horizontal="left"/>
      <protection locked="0"/>
    </xf>
    <xf numFmtId="0" fontId="0" fillId="9" borderId="62" xfId="0" applyFill="1" applyBorder="1" applyAlignment="1" applyProtection="1">
      <alignment horizontal="center" vertical="center"/>
    </xf>
    <xf numFmtId="0" fontId="0" fillId="9" borderId="14" xfId="0" applyFill="1" applyBorder="1" applyAlignment="1" applyProtection="1">
      <alignment horizontal="center" vertical="center"/>
    </xf>
    <xf numFmtId="0" fontId="0" fillId="9" borderId="38" xfId="0" applyFill="1" applyBorder="1" applyAlignment="1" applyProtection="1">
      <alignment horizontal="center" vertical="center"/>
    </xf>
    <xf numFmtId="0" fontId="0" fillId="9" borderId="17" xfId="0" applyFill="1" applyBorder="1" applyAlignment="1" applyProtection="1">
      <alignment horizontal="center" vertical="center"/>
    </xf>
    <xf numFmtId="0" fontId="0" fillId="9" borderId="18" xfId="0" applyFill="1" applyBorder="1" applyAlignment="1" applyProtection="1">
      <alignment horizontal="center" vertical="center"/>
    </xf>
    <xf numFmtId="0" fontId="0" fillId="9" borderId="13" xfId="0" applyFill="1" applyBorder="1" applyAlignment="1" applyProtection="1">
      <alignment horizontal="center" vertical="center"/>
    </xf>
    <xf numFmtId="0" fontId="25" fillId="11" borderId="69" xfId="0" applyFont="1" applyFill="1" applyBorder="1" applyAlignment="1" applyProtection="1">
      <alignment horizontal="left"/>
      <protection locked="0"/>
    </xf>
    <xf numFmtId="0" fontId="25" fillId="11" borderId="63" xfId="0" applyFont="1" applyFill="1" applyBorder="1" applyAlignment="1" applyProtection="1">
      <alignment horizontal="left"/>
      <protection locked="0"/>
    </xf>
    <xf numFmtId="0" fontId="4" fillId="12" borderId="62" xfId="0" applyNumberFormat="1" applyFont="1" applyFill="1" applyBorder="1" applyAlignment="1" applyProtection="1">
      <alignment horizontal="center" vertical="center" wrapText="1"/>
      <protection locked="0"/>
    </xf>
    <xf numFmtId="0" fontId="4" fillId="12" borderId="38" xfId="0" applyNumberFormat="1" applyFont="1" applyFill="1" applyBorder="1" applyAlignment="1" applyProtection="1">
      <alignment horizontal="center" vertical="center" wrapText="1"/>
      <protection locked="0"/>
    </xf>
    <xf numFmtId="0" fontId="4" fillId="12" borderId="17" xfId="0" applyNumberFormat="1" applyFont="1" applyFill="1" applyBorder="1" applyAlignment="1" applyProtection="1">
      <alignment horizontal="center" vertical="center" wrapText="1"/>
      <protection locked="0"/>
    </xf>
    <xf numFmtId="0" fontId="4" fillId="12" borderId="13" xfId="0" applyNumberFormat="1" applyFont="1" applyFill="1" applyBorder="1" applyAlignment="1" applyProtection="1">
      <alignment horizontal="center" vertical="center" wrapText="1"/>
      <protection locked="0"/>
    </xf>
    <xf numFmtId="166" fontId="0" fillId="11" borderId="70" xfId="0" applyNumberFormat="1" applyFill="1" applyBorder="1" applyAlignment="1" applyProtection="1">
      <alignment horizontal="right" wrapText="1"/>
      <protection locked="0"/>
    </xf>
    <xf numFmtId="166" fontId="0" fillId="11" borderId="71" xfId="0" applyNumberFormat="1" applyFill="1" applyBorder="1" applyAlignment="1" applyProtection="1">
      <alignment horizontal="right" wrapText="1"/>
      <protection locked="0"/>
    </xf>
    <xf numFmtId="0" fontId="25" fillId="11" borderId="64" xfId="0" applyNumberFormat="1" applyFont="1" applyFill="1" applyBorder="1" applyAlignment="1" applyProtection="1">
      <protection locked="0"/>
    </xf>
    <xf numFmtId="0" fontId="25" fillId="11" borderId="50" xfId="0" applyNumberFormat="1" applyFont="1" applyFill="1" applyBorder="1" applyAlignment="1" applyProtection="1">
      <protection locked="0"/>
    </xf>
    <xf numFmtId="0" fontId="25" fillId="11" borderId="80" xfId="0" applyNumberFormat="1" applyFont="1" applyFill="1" applyBorder="1" applyAlignment="1" applyProtection="1">
      <protection locked="0"/>
    </xf>
    <xf numFmtId="1" fontId="26" fillId="18" borderId="40" xfId="0" applyNumberFormat="1" applyFont="1" applyFill="1" applyBorder="1" applyAlignment="1" applyProtection="1">
      <alignment vertical="center" wrapText="1"/>
      <protection locked="0"/>
    </xf>
    <xf numFmtId="0" fontId="38" fillId="10" borderId="1" xfId="0" applyFont="1" applyFill="1" applyBorder="1" applyAlignment="1">
      <alignment horizontal="center" wrapText="1"/>
    </xf>
    <xf numFmtId="0" fontId="38" fillId="10" borderId="23" xfId="0" applyFont="1" applyFill="1" applyBorder="1" applyAlignment="1">
      <alignment horizontal="center" wrapText="1"/>
    </xf>
    <xf numFmtId="0" fontId="27" fillId="27" borderId="0" xfId="0" applyFont="1" applyFill="1" applyAlignment="1">
      <alignment horizontal="center" vertical="center" wrapText="1"/>
    </xf>
    <xf numFmtId="0" fontId="5" fillId="10" borderId="62" xfId="0" applyNumberFormat="1" applyFont="1" applyFill="1" applyBorder="1" applyAlignment="1">
      <alignment horizontal="center" vertical="center" wrapText="1"/>
    </xf>
    <xf numFmtId="0" fontId="5" fillId="10" borderId="14" xfId="0" applyNumberFormat="1" applyFont="1" applyFill="1" applyBorder="1" applyAlignment="1">
      <alignment horizontal="center" vertical="center" wrapText="1"/>
    </xf>
    <xf numFmtId="0" fontId="5" fillId="10" borderId="38" xfId="0" applyNumberFormat="1" applyFont="1" applyFill="1" applyBorder="1" applyAlignment="1">
      <alignment horizontal="center" vertical="center" wrapText="1"/>
    </xf>
    <xf numFmtId="0" fontId="5" fillId="10" borderId="17" xfId="0" applyNumberFormat="1" applyFont="1" applyFill="1" applyBorder="1" applyAlignment="1">
      <alignment horizontal="center" vertical="center" wrapText="1"/>
    </xf>
    <xf numFmtId="0" fontId="5" fillId="10" borderId="18" xfId="0" applyNumberFormat="1" applyFont="1" applyFill="1" applyBorder="1" applyAlignment="1">
      <alignment horizontal="center" vertical="center" wrapText="1"/>
    </xf>
    <xf numFmtId="0" fontId="5" fillId="10" borderId="13" xfId="0" applyNumberFormat="1" applyFont="1" applyFill="1" applyBorder="1" applyAlignment="1">
      <alignment horizontal="center" vertical="center" wrapText="1"/>
    </xf>
    <xf numFmtId="0" fontId="6" fillId="9" borderId="10" xfId="0" applyFont="1" applyFill="1" applyBorder="1" applyAlignment="1"/>
    <xf numFmtId="0" fontId="6" fillId="9" borderId="5" xfId="0" applyFont="1" applyFill="1" applyBorder="1" applyAlignment="1"/>
    <xf numFmtId="0" fontId="6" fillId="9" borderId="6" xfId="0" applyFont="1" applyFill="1" applyBorder="1" applyAlignment="1"/>
    <xf numFmtId="0" fontId="15" fillId="17" borderId="44" xfId="0" applyFont="1" applyFill="1" applyBorder="1" applyAlignment="1">
      <alignment wrapText="1"/>
    </xf>
    <xf numFmtId="0" fontId="15" fillId="17" borderId="19" xfId="0" applyFont="1" applyFill="1" applyBorder="1" applyAlignment="1">
      <alignment wrapText="1"/>
    </xf>
    <xf numFmtId="0" fontId="15" fillId="17" borderId="20" xfId="0" applyFont="1" applyFill="1" applyBorder="1" applyAlignment="1">
      <alignment wrapText="1"/>
    </xf>
    <xf numFmtId="0" fontId="3" fillId="9" borderId="62" xfId="0" applyFont="1" applyFill="1" applyBorder="1" applyAlignment="1" applyProtection="1">
      <alignment horizontal="center" vertical="center"/>
    </xf>
    <xf numFmtId="0" fontId="23" fillId="9" borderId="10" xfId="0" applyNumberFormat="1" applyFont="1" applyFill="1" applyBorder="1" applyAlignment="1" applyProtection="1">
      <alignment wrapText="1"/>
      <protection locked="0"/>
    </xf>
    <xf numFmtId="0" fontId="23" fillId="9" borderId="5" xfId="0" applyNumberFormat="1" applyFont="1" applyFill="1" applyBorder="1" applyAlignment="1" applyProtection="1">
      <alignment wrapText="1"/>
      <protection locked="0"/>
    </xf>
    <xf numFmtId="0" fontId="23" fillId="9" borderId="6" xfId="0" applyNumberFormat="1" applyFont="1" applyFill="1" applyBorder="1" applyAlignment="1" applyProtection="1">
      <alignment wrapText="1"/>
      <protection locked="0"/>
    </xf>
    <xf numFmtId="0" fontId="23" fillId="9" borderId="10" xfId="0" applyNumberFormat="1" applyFont="1" applyFill="1" applyBorder="1" applyAlignment="1" applyProtection="1">
      <alignment horizontal="left" vertical="center"/>
      <protection locked="0"/>
    </xf>
    <xf numFmtId="0" fontId="23" fillId="9" borderId="5" xfId="0" applyNumberFormat="1" applyFont="1" applyFill="1" applyBorder="1" applyAlignment="1" applyProtection="1">
      <alignment horizontal="left" vertical="center"/>
      <protection locked="0"/>
    </xf>
    <xf numFmtId="0" fontId="23" fillId="9" borderId="6" xfId="0" applyNumberFormat="1" applyFont="1" applyFill="1" applyBorder="1" applyAlignment="1" applyProtection="1">
      <alignment horizontal="left" vertical="center"/>
      <protection locked="0"/>
    </xf>
    <xf numFmtId="0" fontId="25" fillId="11" borderId="79" xfId="0" applyNumberFormat="1" applyFont="1" applyFill="1" applyBorder="1" applyAlignment="1" applyProtection="1">
      <alignment horizontal="left"/>
      <protection locked="0"/>
    </xf>
    <xf numFmtId="0" fontId="25" fillId="11" borderId="71" xfId="0" applyNumberFormat="1" applyFont="1" applyFill="1" applyBorder="1" applyAlignment="1" applyProtection="1">
      <alignment horizontal="left"/>
      <protection locked="0"/>
    </xf>
    <xf numFmtId="0" fontId="25" fillId="11" borderId="81" xfId="0" applyNumberFormat="1" applyFont="1" applyFill="1" applyBorder="1" applyAlignment="1" applyProtection="1">
      <alignment horizontal="left"/>
      <protection locked="0"/>
    </xf>
    <xf numFmtId="0" fontId="5" fillId="10" borderId="62" xfId="0" applyNumberFormat="1" applyFont="1" applyFill="1" applyBorder="1" applyAlignment="1">
      <alignment horizontal="center" wrapText="1"/>
    </xf>
    <xf numFmtId="0" fontId="5" fillId="10" borderId="14" xfId="0" applyNumberFormat="1" applyFont="1" applyFill="1" applyBorder="1" applyAlignment="1">
      <alignment horizontal="center" wrapText="1"/>
    </xf>
    <xf numFmtId="0" fontId="5" fillId="10" borderId="38" xfId="0" applyNumberFormat="1" applyFont="1" applyFill="1" applyBorder="1" applyAlignment="1">
      <alignment horizontal="center" wrapText="1"/>
    </xf>
    <xf numFmtId="0" fontId="5" fillId="10" borderId="62" xfId="0" applyNumberFormat="1" applyFont="1" applyFill="1" applyBorder="1" applyAlignment="1">
      <alignment horizontal="center" vertical="top"/>
    </xf>
    <xf numFmtId="0" fontId="5" fillId="10" borderId="14" xfId="0" applyNumberFormat="1" applyFont="1" applyFill="1" applyBorder="1" applyAlignment="1">
      <alignment horizontal="center" vertical="top"/>
    </xf>
    <xf numFmtId="0" fontId="5" fillId="10" borderId="38" xfId="0" applyNumberFormat="1" applyFont="1" applyFill="1" applyBorder="1" applyAlignment="1">
      <alignment horizontal="center" vertical="top"/>
    </xf>
    <xf numFmtId="0" fontId="4" fillId="9" borderId="44" xfId="0" applyNumberFormat="1" applyFont="1" applyFill="1" applyBorder="1" applyAlignment="1">
      <alignment horizontal="center" vertical="center" wrapText="1"/>
    </xf>
    <xf numFmtId="0" fontId="4" fillId="9" borderId="19" xfId="0" applyNumberFormat="1" applyFont="1" applyFill="1" applyBorder="1" applyAlignment="1">
      <alignment horizontal="center" vertical="center" wrapText="1"/>
    </xf>
    <xf numFmtId="0" fontId="4" fillId="9" borderId="20" xfId="0" applyNumberFormat="1" applyFont="1" applyFill="1" applyBorder="1" applyAlignment="1">
      <alignment horizontal="center" vertical="center" wrapText="1"/>
    </xf>
    <xf numFmtId="0" fontId="4" fillId="10" borderId="44" xfId="0" applyNumberFormat="1" applyFont="1" applyFill="1" applyBorder="1" applyAlignment="1">
      <alignment horizontal="center" vertical="center"/>
    </xf>
    <xf numFmtId="0" fontId="4" fillId="10" borderId="19" xfId="0" applyNumberFormat="1" applyFont="1" applyFill="1" applyBorder="1" applyAlignment="1">
      <alignment horizontal="center" vertical="center"/>
    </xf>
    <xf numFmtId="0" fontId="4" fillId="10" borderId="20" xfId="0" applyNumberFormat="1" applyFont="1" applyFill="1" applyBorder="1" applyAlignment="1">
      <alignment horizontal="center" vertical="center"/>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11" borderId="22" xfId="0" applyNumberFormat="1" applyFont="1" applyFill="1" applyBorder="1" applyAlignment="1" applyProtection="1">
      <alignment horizontal="left" wrapText="1"/>
      <protection locked="0"/>
    </xf>
    <xf numFmtId="0" fontId="3" fillId="11" borderId="12" xfId="0" applyNumberFormat="1" applyFont="1" applyFill="1" applyBorder="1" applyAlignment="1" applyProtection="1">
      <alignment horizontal="left" wrapText="1"/>
      <protection locked="0"/>
    </xf>
    <xf numFmtId="0" fontId="3" fillId="11" borderId="11" xfId="0" applyNumberFormat="1" applyFont="1" applyFill="1" applyBorder="1" applyAlignment="1" applyProtection="1">
      <alignment horizontal="left" wrapText="1"/>
      <protection locked="0"/>
    </xf>
    <xf numFmtId="0" fontId="0" fillId="11" borderId="44" xfId="0" applyNumberFormat="1" applyFill="1" applyBorder="1" applyAlignment="1" applyProtection="1">
      <alignment horizontal="left" wrapText="1"/>
      <protection locked="0"/>
    </xf>
    <xf numFmtId="166" fontId="3" fillId="11" borderId="10" xfId="28" applyNumberFormat="1" applyFont="1" applyFill="1" applyBorder="1" applyAlignment="1" applyProtection="1">
      <alignment horizontal="right" wrapText="1"/>
      <protection locked="0"/>
    </xf>
    <xf numFmtId="166" fontId="3" fillId="11" borderId="5" xfId="28" applyNumberFormat="1" applyFont="1" applyFill="1" applyBorder="1" applyAlignment="1" applyProtection="1">
      <alignment horizontal="right" wrapText="1"/>
      <protection locked="0"/>
    </xf>
    <xf numFmtId="166" fontId="3" fillId="11" borderId="6" xfId="28" applyNumberFormat="1" applyFont="1" applyFill="1" applyBorder="1" applyAlignment="1" applyProtection="1">
      <alignment horizontal="right" wrapText="1"/>
      <protection locked="0"/>
    </xf>
    <xf numFmtId="166" fontId="3" fillId="11" borderId="10" xfId="28" applyNumberFormat="1" applyFont="1" applyFill="1" applyBorder="1" applyAlignment="1" applyProtection="1">
      <alignment horizontal="center" wrapText="1"/>
      <protection locked="0"/>
    </xf>
    <xf numFmtId="166" fontId="3" fillId="11" borderId="5" xfId="28" applyNumberFormat="1" applyFont="1" applyFill="1" applyBorder="1" applyAlignment="1" applyProtection="1">
      <alignment horizontal="center" wrapText="1"/>
      <protection locked="0"/>
    </xf>
    <xf numFmtId="166" fontId="3" fillId="11" borderId="6" xfId="28" applyNumberFormat="1" applyFont="1" applyFill="1" applyBorder="1" applyAlignment="1" applyProtection="1">
      <alignment horizontal="center" wrapText="1"/>
      <protection locked="0"/>
    </xf>
    <xf numFmtId="1" fontId="3" fillId="11" borderId="10" xfId="28" applyNumberFormat="1" applyFont="1" applyFill="1" applyBorder="1" applyAlignment="1" applyProtection="1">
      <alignment horizontal="center" wrapText="1"/>
      <protection locked="0"/>
    </xf>
    <xf numFmtId="1" fontId="3" fillId="11" borderId="5" xfId="28" applyNumberFormat="1" applyFont="1" applyFill="1" applyBorder="1" applyAlignment="1" applyProtection="1">
      <alignment horizontal="center" wrapText="1"/>
      <protection locked="0"/>
    </xf>
    <xf numFmtId="1" fontId="3" fillId="11" borderId="6" xfId="28" applyNumberFormat="1" applyFont="1" applyFill="1" applyBorder="1" applyAlignment="1" applyProtection="1">
      <alignment horizontal="center" wrapText="1"/>
      <protection locked="0"/>
    </xf>
    <xf numFmtId="9" fontId="0" fillId="11" borderId="44" xfId="41" applyFont="1" applyFill="1" applyBorder="1" applyAlignment="1" applyProtection="1">
      <alignment horizontal="center" wrapText="1"/>
      <protection locked="0"/>
    </xf>
    <xf numFmtId="9" fontId="0" fillId="11" borderId="19" xfId="41" applyFont="1" applyFill="1" applyBorder="1" applyAlignment="1" applyProtection="1">
      <alignment horizontal="center" wrapText="1"/>
      <protection locked="0"/>
    </xf>
    <xf numFmtId="9" fontId="0" fillId="11" borderId="20" xfId="41" applyFont="1" applyFill="1" applyBorder="1" applyAlignment="1" applyProtection="1">
      <alignment horizontal="center" wrapText="1"/>
      <protection locked="0"/>
    </xf>
    <xf numFmtId="0" fontId="0" fillId="11" borderId="69" xfId="0" applyNumberFormat="1" applyFill="1" applyBorder="1" applyAlignment="1" applyProtection="1">
      <alignment horizontal="center" wrapText="1"/>
      <protection locked="0"/>
    </xf>
    <xf numFmtId="1" fontId="26" fillId="9" borderId="62" xfId="0" applyNumberFormat="1" applyFont="1" applyFill="1" applyBorder="1" applyAlignment="1">
      <alignment horizontal="center" vertical="center" wrapText="1"/>
    </xf>
    <xf numFmtId="1" fontId="26" fillId="9" borderId="14" xfId="0" applyNumberFormat="1" applyFont="1" applyFill="1" applyBorder="1" applyAlignment="1">
      <alignment horizontal="center" vertical="center" wrapText="1"/>
    </xf>
    <xf numFmtId="1" fontId="26" fillId="9" borderId="38" xfId="0" applyNumberFormat="1" applyFont="1" applyFill="1" applyBorder="1" applyAlignment="1">
      <alignment horizontal="center" vertical="center" wrapText="1"/>
    </xf>
    <xf numFmtId="1" fontId="26" fillId="9" borderId="3" xfId="0" applyNumberFormat="1" applyFont="1" applyFill="1" applyBorder="1" applyAlignment="1">
      <alignment horizontal="center" vertical="center" wrapText="1"/>
    </xf>
    <xf numFmtId="1" fontId="26" fillId="9" borderId="0" xfId="0" applyNumberFormat="1" applyFont="1" applyFill="1" applyBorder="1" applyAlignment="1">
      <alignment horizontal="center" vertical="center" wrapText="1"/>
    </xf>
    <xf numFmtId="1" fontId="26" fillId="9" borderId="37" xfId="0" applyNumberFormat="1" applyFont="1" applyFill="1" applyBorder="1" applyAlignment="1">
      <alignment horizontal="center" vertical="center" wrapText="1"/>
    </xf>
    <xf numFmtId="1" fontId="26" fillId="9" borderId="17" xfId="0" applyNumberFormat="1" applyFont="1" applyFill="1" applyBorder="1" applyAlignment="1">
      <alignment horizontal="center" vertical="center" wrapText="1"/>
    </xf>
    <xf numFmtId="1" fontId="26" fillId="9" borderId="18" xfId="0" applyNumberFormat="1" applyFont="1" applyFill="1" applyBorder="1" applyAlignment="1">
      <alignment horizontal="center" vertical="center" wrapText="1"/>
    </xf>
    <xf numFmtId="1" fontId="26" fillId="9" borderId="13" xfId="0" applyNumberFormat="1" applyFont="1" applyFill="1" applyBorder="1" applyAlignment="1">
      <alignment horizontal="center" vertical="center" wrapText="1"/>
    </xf>
    <xf numFmtId="0" fontId="3" fillId="9" borderId="44" xfId="0" applyNumberFormat="1" applyFont="1" applyFill="1" applyBorder="1" applyAlignment="1">
      <alignment horizontal="right" wrapText="1"/>
    </xf>
    <xf numFmtId="0" fontId="0" fillId="9" borderId="19" xfId="0" applyNumberFormat="1" applyFill="1" applyBorder="1" applyAlignment="1">
      <alignment horizontal="right" wrapText="1"/>
    </xf>
    <xf numFmtId="0" fontId="0" fillId="9" borderId="20" xfId="0" applyNumberFormat="1" applyFill="1" applyBorder="1" applyAlignment="1">
      <alignment horizontal="right" wrapText="1"/>
    </xf>
    <xf numFmtId="0" fontId="26" fillId="12" borderId="63" xfId="0" applyNumberFormat="1" applyFont="1" applyFill="1" applyBorder="1" applyAlignment="1" applyProtection="1">
      <alignment horizontal="center" vertical="center" wrapText="1"/>
      <protection locked="0"/>
    </xf>
    <xf numFmtId="0" fontId="26" fillId="10" borderId="38"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50" fillId="9" borderId="10" xfId="0" applyFont="1" applyFill="1" applyBorder="1" applyAlignment="1" applyProtection="1">
      <alignment vertical="center" wrapText="1"/>
      <protection locked="0"/>
    </xf>
    <xf numFmtId="0" fontId="50" fillId="9" borderId="5" xfId="0" applyFont="1" applyFill="1" applyBorder="1" applyAlignment="1" applyProtection="1">
      <alignment vertical="center" wrapText="1"/>
      <protection locked="0"/>
    </xf>
    <xf numFmtId="0" fontId="50" fillId="9" borderId="6" xfId="0" applyFont="1" applyFill="1" applyBorder="1" applyAlignment="1" applyProtection="1">
      <alignment vertical="center" wrapText="1"/>
      <protection locked="0"/>
    </xf>
    <xf numFmtId="0" fontId="0" fillId="12" borderId="69" xfId="0" applyNumberFormat="1" applyFill="1" applyBorder="1" applyAlignment="1" applyProtection="1">
      <alignment horizontal="center" wrapText="1"/>
      <protection locked="0"/>
    </xf>
    <xf numFmtId="0" fontId="0" fillId="12" borderId="19" xfId="0" applyNumberFormat="1" applyFill="1" applyBorder="1" applyAlignment="1" applyProtection="1">
      <alignment horizontal="center" wrapText="1"/>
      <protection locked="0"/>
    </xf>
    <xf numFmtId="0" fontId="0" fillId="12" borderId="63" xfId="0" applyNumberFormat="1" applyFill="1" applyBorder="1" applyAlignment="1" applyProtection="1">
      <alignment horizontal="center" wrapText="1"/>
      <protection locked="0"/>
    </xf>
    <xf numFmtId="0" fontId="32" fillId="9" borderId="0" xfId="0" applyFont="1" applyFill="1" applyAlignment="1">
      <alignment horizontal="left" vertical="top" wrapText="1"/>
    </xf>
    <xf numFmtId="0" fontId="25" fillId="11" borderId="44" xfId="0" applyFont="1" applyFill="1" applyBorder="1" applyAlignment="1" applyProtection="1">
      <alignment horizontal="left" vertical="top" wrapText="1"/>
      <protection locked="0"/>
    </xf>
    <xf numFmtId="0" fontId="25" fillId="11" borderId="19" xfId="0" applyFont="1" applyFill="1" applyBorder="1" applyAlignment="1" applyProtection="1">
      <alignment horizontal="left" vertical="top" wrapText="1"/>
      <protection locked="0"/>
    </xf>
    <xf numFmtId="0" fontId="25" fillId="11" borderId="20" xfId="0" applyFont="1" applyFill="1" applyBorder="1" applyAlignment="1" applyProtection="1">
      <alignment horizontal="left" vertical="top" wrapText="1"/>
      <protection locked="0"/>
    </xf>
    <xf numFmtId="0" fontId="25" fillId="11" borderId="62" xfId="0" applyFont="1" applyFill="1" applyBorder="1" applyAlignment="1" applyProtection="1">
      <alignment horizontal="left" vertical="top"/>
      <protection locked="0"/>
    </xf>
    <xf numFmtId="0" fontId="25" fillId="11" borderId="14" xfId="0" applyFont="1" applyFill="1" applyBorder="1" applyAlignment="1" applyProtection="1">
      <alignment horizontal="left" vertical="top"/>
      <protection locked="0"/>
    </xf>
    <xf numFmtId="0" fontId="25" fillId="11" borderId="38" xfId="0" applyFont="1" applyFill="1" applyBorder="1" applyAlignment="1" applyProtection="1">
      <alignment horizontal="left" vertical="top"/>
      <protection locked="0"/>
    </xf>
    <xf numFmtId="0" fontId="26" fillId="10" borderId="12" xfId="0" applyFont="1" applyFill="1" applyBorder="1" applyAlignment="1">
      <alignment horizontal="left" wrapText="1"/>
    </xf>
    <xf numFmtId="0" fontId="26" fillId="10" borderId="11" xfId="0" applyFont="1" applyFill="1" applyBorder="1" applyAlignment="1">
      <alignment horizontal="left" wrapText="1"/>
    </xf>
    <xf numFmtId="0" fontId="65" fillId="10" borderId="18" xfId="0" applyFont="1" applyFill="1" applyBorder="1" applyAlignment="1">
      <alignment horizontal="center" wrapText="1"/>
    </xf>
    <xf numFmtId="0" fontId="3" fillId="11" borderId="73" xfId="0" applyNumberFormat="1" applyFont="1" applyFill="1" applyBorder="1" applyAlignment="1" applyProtection="1">
      <alignment horizontal="center" wrapText="1"/>
      <protection locked="0"/>
    </xf>
    <xf numFmtId="0" fontId="0" fillId="11" borderId="5" xfId="0" applyNumberFormat="1" applyFill="1" applyBorder="1" applyAlignment="1" applyProtection="1">
      <alignment horizontal="center" wrapText="1"/>
      <protection locked="0"/>
    </xf>
    <xf numFmtId="0" fontId="0" fillId="11" borderId="6" xfId="0" applyNumberFormat="1" applyFill="1" applyBorder="1" applyAlignment="1" applyProtection="1">
      <alignment horizontal="center" wrapText="1"/>
      <protection locked="0"/>
    </xf>
    <xf numFmtId="2" fontId="3" fillId="11" borderId="10" xfId="0" applyNumberFormat="1" applyFont="1" applyFill="1" applyBorder="1" applyAlignment="1" applyProtection="1">
      <alignment horizontal="center" wrapText="1"/>
      <protection locked="0"/>
    </xf>
    <xf numFmtId="2" fontId="3" fillId="11" borderId="6" xfId="0" applyNumberFormat="1" applyFont="1" applyFill="1" applyBorder="1" applyAlignment="1" applyProtection="1">
      <alignment horizontal="center" wrapText="1"/>
      <protection locked="0"/>
    </xf>
    <xf numFmtId="0" fontId="65" fillId="10" borderId="14" xfId="0" applyFont="1" applyFill="1" applyBorder="1" applyAlignment="1">
      <alignment horizontal="center" wrapText="1"/>
    </xf>
    <xf numFmtId="0" fontId="65" fillId="10" borderId="38" xfId="0" applyFont="1" applyFill="1" applyBorder="1" applyAlignment="1">
      <alignment horizontal="center" wrapText="1"/>
    </xf>
    <xf numFmtId="0" fontId="65" fillId="10" borderId="13" xfId="0" applyFont="1" applyFill="1" applyBorder="1" applyAlignment="1">
      <alignment horizontal="center" wrapText="1"/>
    </xf>
    <xf numFmtId="0" fontId="76" fillId="13" borderId="44" xfId="0" applyFont="1" applyFill="1" applyBorder="1" applyAlignment="1">
      <alignment horizontal="right" wrapText="1"/>
    </xf>
    <xf numFmtId="0" fontId="76" fillId="13" borderId="19" xfId="0" applyFont="1" applyFill="1" applyBorder="1" applyAlignment="1">
      <alignment horizontal="right" wrapText="1"/>
    </xf>
    <xf numFmtId="164" fontId="76" fillId="11" borderId="63" xfId="0" applyNumberFormat="1" applyFont="1" applyFill="1" applyBorder="1" applyAlignment="1" applyProtection="1">
      <alignment horizontal="center"/>
      <protection locked="0"/>
    </xf>
    <xf numFmtId="0" fontId="23" fillId="9" borderId="0" xfId="0" applyFont="1" applyFill="1" applyAlignment="1" applyProtection="1">
      <alignment horizontal="left" vertical="top"/>
      <protection locked="0"/>
    </xf>
    <xf numFmtId="0" fontId="38" fillId="13" borderId="44" xfId="0" applyFont="1" applyFill="1" applyBorder="1" applyAlignment="1">
      <alignment vertical="center"/>
    </xf>
    <xf numFmtId="0" fontId="38" fillId="13" borderId="20" xfId="0" applyFont="1" applyFill="1" applyBorder="1" applyAlignment="1">
      <alignment vertical="center"/>
    </xf>
    <xf numFmtId="0" fontId="47" fillId="14" borderId="44" xfId="0" applyFont="1" applyFill="1" applyBorder="1" applyAlignment="1"/>
    <xf numFmtId="0" fontId="47" fillId="14" borderId="19" xfId="0" applyFont="1" applyFill="1" applyBorder="1" applyAlignment="1"/>
    <xf numFmtId="0" fontId="47" fillId="14" borderId="21" xfId="0" applyFont="1" applyFill="1" applyBorder="1" applyAlignment="1"/>
    <xf numFmtId="0" fontId="47" fillId="14" borderId="5" xfId="0" applyFont="1" applyFill="1" applyBorder="1" applyAlignment="1"/>
    <xf numFmtId="0" fontId="47" fillId="14" borderId="34" xfId="0" applyFont="1" applyFill="1" applyBorder="1" applyAlignment="1"/>
    <xf numFmtId="0" fontId="47" fillId="14" borderId="12" xfId="0" applyFont="1" applyFill="1" applyBorder="1" applyAlignment="1"/>
    <xf numFmtId="0" fontId="47" fillId="14" borderId="0" xfId="0" applyFont="1" applyFill="1" applyBorder="1" applyAlignment="1"/>
    <xf numFmtId="49" fontId="4" fillId="11" borderId="44" xfId="0" applyNumberFormat="1" applyFont="1" applyFill="1" applyBorder="1" applyAlignment="1" applyProtection="1">
      <alignment horizontal="right" wrapText="1"/>
      <protection locked="0"/>
    </xf>
    <xf numFmtId="49" fontId="4" fillId="11" borderId="19" xfId="0" applyNumberFormat="1" applyFont="1" applyFill="1" applyBorder="1" applyAlignment="1" applyProtection="1">
      <alignment horizontal="right" wrapText="1"/>
      <protection locked="0"/>
    </xf>
    <xf numFmtId="0" fontId="25" fillId="9" borderId="0" xfId="0" applyFont="1" applyFill="1" applyBorder="1" applyAlignment="1"/>
    <xf numFmtId="0" fontId="24" fillId="9" borderId="0" xfId="0" applyFont="1" applyFill="1" applyBorder="1" applyAlignment="1" applyProtection="1">
      <alignment horizontal="center" vertical="top" wrapText="1"/>
    </xf>
    <xf numFmtId="10" fontId="76" fillId="13" borderId="19" xfId="0" applyNumberFormat="1" applyFont="1" applyFill="1" applyBorder="1" applyAlignment="1" applyProtection="1">
      <alignment horizontal="center" vertical="center"/>
    </xf>
    <xf numFmtId="10" fontId="76" fillId="13" borderId="20" xfId="0" applyNumberFormat="1" applyFont="1" applyFill="1" applyBorder="1" applyAlignment="1" applyProtection="1">
      <alignment horizontal="center" vertical="center"/>
    </xf>
    <xf numFmtId="0" fontId="2" fillId="11" borderId="10" xfId="0" applyNumberFormat="1" applyFont="1" applyFill="1" applyBorder="1" applyAlignment="1" applyProtection="1">
      <alignment horizontal="right" wrapText="1"/>
      <protection locked="0"/>
    </xf>
    <xf numFmtId="0" fontId="2" fillId="11" borderId="5" xfId="0" applyNumberFormat="1" applyFont="1" applyFill="1" applyBorder="1" applyAlignment="1" applyProtection="1">
      <alignment horizontal="right" wrapText="1"/>
      <protection locked="0"/>
    </xf>
    <xf numFmtId="0" fontId="2" fillId="11" borderId="6" xfId="0" applyNumberFormat="1" applyFont="1" applyFill="1" applyBorder="1" applyAlignment="1" applyProtection="1">
      <alignment horizontal="right" wrapText="1"/>
      <protection locked="0"/>
    </xf>
    <xf numFmtId="0" fontId="111" fillId="12" borderId="24" xfId="0" applyNumberFormat="1" applyFont="1" applyFill="1" applyBorder="1" applyAlignment="1" applyProtection="1">
      <alignment horizontal="center" vertical="center" wrapText="1"/>
      <protection locked="0"/>
    </xf>
    <xf numFmtId="0" fontId="111" fillId="12" borderId="14" xfId="0" applyNumberFormat="1" applyFont="1" applyFill="1" applyBorder="1" applyAlignment="1" applyProtection="1">
      <alignment horizontal="center" vertical="center" wrapText="1"/>
      <protection locked="0"/>
    </xf>
    <xf numFmtId="0" fontId="111" fillId="12" borderId="60" xfId="0" applyNumberFormat="1" applyFont="1" applyFill="1" applyBorder="1" applyAlignment="1" applyProtection="1">
      <alignment horizontal="center" vertical="center" wrapText="1"/>
      <protection locked="0"/>
    </xf>
    <xf numFmtId="0" fontId="111" fillId="12" borderId="2" xfId="0" applyNumberFormat="1" applyFont="1" applyFill="1" applyBorder="1" applyAlignment="1" applyProtection="1">
      <alignment horizontal="center" vertical="center" wrapText="1"/>
      <protection locked="0"/>
    </xf>
    <xf numFmtId="0" fontId="111" fillId="12" borderId="0" xfId="0" applyNumberFormat="1" applyFont="1" applyFill="1" applyBorder="1" applyAlignment="1" applyProtection="1">
      <alignment horizontal="center" vertical="center" wrapText="1"/>
      <protection locked="0"/>
    </xf>
    <xf numFmtId="0" fontId="111" fillId="12" borderId="39" xfId="0" applyNumberFormat="1" applyFont="1" applyFill="1" applyBorder="1" applyAlignment="1" applyProtection="1">
      <alignment horizontal="center" vertical="center" wrapText="1"/>
      <protection locked="0"/>
    </xf>
    <xf numFmtId="0" fontId="111" fillId="12" borderId="22" xfId="0" applyNumberFormat="1" applyFont="1" applyFill="1" applyBorder="1" applyAlignment="1" applyProtection="1">
      <alignment horizontal="center" vertical="center" wrapText="1"/>
      <protection locked="0"/>
    </xf>
    <xf numFmtId="0" fontId="111" fillId="12" borderId="12" xfId="0" applyNumberFormat="1" applyFont="1" applyFill="1" applyBorder="1" applyAlignment="1" applyProtection="1">
      <alignment horizontal="center" vertical="center" wrapText="1"/>
      <protection locked="0"/>
    </xf>
    <xf numFmtId="0" fontId="111" fillId="12" borderId="11" xfId="0" applyNumberFormat="1" applyFont="1" applyFill="1" applyBorder="1" applyAlignment="1" applyProtection="1">
      <alignment horizontal="center" vertical="center" wrapText="1"/>
      <protection locked="0"/>
    </xf>
    <xf numFmtId="0" fontId="3" fillId="9" borderId="8" xfId="0" applyFont="1" applyFill="1" applyBorder="1" applyAlignment="1">
      <alignment horizontal="left" vertical="center" wrapText="1"/>
    </xf>
    <xf numFmtId="0" fontId="0" fillId="9" borderId="57" xfId="0" applyFill="1" applyBorder="1" applyAlignment="1">
      <alignment horizontal="left" vertical="center" wrapText="1"/>
    </xf>
    <xf numFmtId="0" fontId="0" fillId="9" borderId="47" xfId="0" applyFill="1" applyBorder="1" applyAlignment="1">
      <alignment horizontal="left" vertical="center" wrapText="1"/>
    </xf>
    <xf numFmtId="0" fontId="0" fillId="9" borderId="48" xfId="0" applyFill="1" applyBorder="1" applyAlignment="1">
      <alignment horizontal="left" vertical="center" wrapText="1"/>
    </xf>
    <xf numFmtId="0" fontId="3" fillId="9" borderId="57" xfId="0" applyFont="1" applyFill="1" applyBorder="1" applyAlignment="1">
      <alignment horizontal="left" vertical="center" wrapText="1"/>
    </xf>
    <xf numFmtId="0" fontId="3" fillId="9" borderId="47" xfId="0" applyFont="1" applyFill="1" applyBorder="1" applyAlignment="1">
      <alignment horizontal="left" vertical="center" wrapText="1"/>
    </xf>
    <xf numFmtId="0" fontId="3" fillId="9" borderId="48" xfId="0" applyFont="1" applyFill="1" applyBorder="1" applyAlignment="1">
      <alignment horizontal="left" vertical="center" wrapText="1"/>
    </xf>
    <xf numFmtId="0" fontId="3" fillId="9" borderId="42" xfId="0" applyFont="1" applyFill="1" applyBorder="1" applyAlignment="1">
      <alignment horizontal="left" vertical="center" wrapText="1"/>
    </xf>
    <xf numFmtId="0" fontId="3" fillId="9" borderId="43" xfId="0" applyFont="1" applyFill="1" applyBorder="1" applyAlignment="1">
      <alignment horizontal="left" vertical="center" wrapText="1"/>
    </xf>
    <xf numFmtId="0" fontId="4" fillId="12" borderId="3" xfId="0" applyNumberFormat="1" applyFont="1" applyFill="1" applyBorder="1" applyAlignment="1" applyProtection="1">
      <alignment horizontal="center" vertical="center" wrapText="1"/>
      <protection locked="0"/>
    </xf>
    <xf numFmtId="0" fontId="4" fillId="12" borderId="37" xfId="0" applyNumberFormat="1" applyFont="1" applyFill="1" applyBorder="1" applyAlignment="1" applyProtection="1">
      <alignment horizontal="center" vertical="center" wrapText="1"/>
      <protection locked="0"/>
    </xf>
    <xf numFmtId="0" fontId="4" fillId="12" borderId="18" xfId="0" applyNumberFormat="1" applyFont="1" applyFill="1" applyBorder="1" applyAlignment="1" applyProtection="1">
      <alignment horizontal="center" vertical="center" wrapText="1"/>
      <protection locked="0"/>
    </xf>
    <xf numFmtId="0" fontId="3" fillId="9" borderId="84" xfId="0" applyFont="1" applyFill="1" applyBorder="1" applyAlignment="1">
      <alignment horizontal="left" wrapText="1"/>
    </xf>
    <xf numFmtId="0" fontId="3" fillId="9" borderId="5" xfId="0" applyFont="1" applyFill="1" applyBorder="1" applyAlignment="1">
      <alignment horizontal="left" wrapText="1"/>
    </xf>
    <xf numFmtId="0" fontId="3" fillId="9" borderId="6" xfId="0" applyFont="1" applyFill="1" applyBorder="1" applyAlignment="1">
      <alignment horizontal="left" wrapText="1"/>
    </xf>
    <xf numFmtId="0" fontId="23" fillId="9" borderId="10" xfId="0" applyNumberFormat="1" applyFont="1" applyFill="1" applyBorder="1" applyAlignment="1" applyProtection="1">
      <protection locked="0"/>
    </xf>
    <xf numFmtId="0" fontId="23" fillId="9" borderId="5" xfId="0" applyNumberFormat="1" applyFont="1" applyFill="1" applyBorder="1" applyAlignment="1" applyProtection="1">
      <protection locked="0"/>
    </xf>
    <xf numFmtId="0" fontId="23" fillId="9" borderId="6" xfId="0" applyNumberFormat="1" applyFont="1" applyFill="1" applyBorder="1" applyAlignment="1" applyProtection="1">
      <protection locked="0"/>
    </xf>
    <xf numFmtId="0" fontId="25" fillId="10" borderId="5" xfId="0" applyFont="1" applyFill="1" applyBorder="1" applyAlignment="1">
      <alignment wrapText="1"/>
    </xf>
    <xf numFmtId="0" fontId="4" fillId="9" borderId="56" xfId="0" applyNumberFormat="1" applyFont="1" applyFill="1" applyBorder="1" applyAlignment="1" applyProtection="1">
      <alignment horizontal="left" vertical="top" wrapText="1"/>
      <protection locked="0"/>
    </xf>
    <xf numFmtId="0" fontId="4" fillId="9" borderId="8" xfId="0" applyNumberFormat="1" applyFont="1" applyFill="1" applyBorder="1" applyAlignment="1" applyProtection="1">
      <alignment horizontal="left" vertical="top" wrapText="1"/>
      <protection locked="0"/>
    </xf>
    <xf numFmtId="0" fontId="4" fillId="9" borderId="94" xfId="0" applyNumberFormat="1" applyFont="1" applyFill="1" applyBorder="1" applyAlignment="1" applyProtection="1">
      <alignment horizontal="left" vertical="top" wrapText="1"/>
      <protection locked="0"/>
    </xf>
    <xf numFmtId="168" fontId="23" fillId="9" borderId="10" xfId="0" applyNumberFormat="1" applyFont="1" applyFill="1" applyBorder="1" applyAlignment="1" applyProtection="1">
      <alignment horizontal="center"/>
      <protection locked="0"/>
    </xf>
    <xf numFmtId="168" fontId="23" fillId="9" borderId="5" xfId="0" applyNumberFormat="1" applyFont="1" applyFill="1" applyBorder="1" applyAlignment="1" applyProtection="1">
      <alignment horizontal="center"/>
      <protection locked="0"/>
    </xf>
    <xf numFmtId="168" fontId="23" fillId="9" borderId="6" xfId="0" applyNumberFormat="1" applyFont="1" applyFill="1" applyBorder="1" applyAlignment="1" applyProtection="1">
      <alignment horizontal="center"/>
      <protection locked="0"/>
    </xf>
    <xf numFmtId="0" fontId="3" fillId="9" borderId="8" xfId="0" applyFont="1" applyFill="1" applyBorder="1" applyAlignment="1">
      <alignment horizontal="center" vertical="center" wrapText="1"/>
    </xf>
    <xf numFmtId="0" fontId="3" fillId="9" borderId="9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48" xfId="0" applyFont="1" applyFill="1" applyBorder="1" applyAlignment="1">
      <alignment horizontal="center" vertical="center" wrapText="1"/>
    </xf>
    <xf numFmtId="0" fontId="23" fillId="9" borderId="10" xfId="0" applyNumberFormat="1" applyFont="1" applyFill="1" applyBorder="1" applyAlignment="1" applyProtection="1">
      <alignment horizontal="left"/>
      <protection locked="0"/>
    </xf>
    <xf numFmtId="0" fontId="23" fillId="9" borderId="5" xfId="0" applyNumberFormat="1" applyFont="1" applyFill="1" applyBorder="1" applyAlignment="1" applyProtection="1">
      <alignment horizontal="left"/>
      <protection locked="0"/>
    </xf>
    <xf numFmtId="0" fontId="23" fillId="9" borderId="6" xfId="0" applyNumberFormat="1" applyFont="1" applyFill="1" applyBorder="1" applyAlignment="1" applyProtection="1">
      <alignment horizontal="left"/>
      <protection locked="0"/>
    </xf>
    <xf numFmtId="0" fontId="3" fillId="9" borderId="33"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4" fillId="12" borderId="10" xfId="0" applyNumberFormat="1" applyFont="1" applyFill="1" applyBorder="1" applyAlignment="1" applyProtection="1">
      <alignment horizontal="center" wrapText="1"/>
      <protection locked="0"/>
    </xf>
    <xf numFmtId="0" fontId="4" fillId="12" borderId="5" xfId="0" applyNumberFormat="1" applyFont="1" applyFill="1" applyBorder="1" applyAlignment="1" applyProtection="1">
      <alignment horizontal="center" wrapText="1"/>
      <protection locked="0"/>
    </xf>
    <xf numFmtId="0" fontId="4" fillId="12" borderId="6" xfId="0" applyNumberFormat="1" applyFont="1" applyFill="1" applyBorder="1" applyAlignment="1" applyProtection="1">
      <alignment horizontal="center" wrapText="1"/>
      <protection locked="0"/>
    </xf>
    <xf numFmtId="0" fontId="13" fillId="9" borderId="22" xfId="0" applyFont="1" applyFill="1" applyBorder="1" applyAlignment="1">
      <alignment horizontal="left" vertical="top" wrapText="1"/>
    </xf>
    <xf numFmtId="0" fontId="13" fillId="9" borderId="12" xfId="0" applyFont="1" applyFill="1" applyBorder="1" applyAlignment="1">
      <alignment horizontal="left" vertical="top" wrapText="1"/>
    </xf>
    <xf numFmtId="0" fontId="13" fillId="9" borderId="11" xfId="0" applyFont="1" applyFill="1" applyBorder="1" applyAlignment="1">
      <alignment horizontal="left" vertical="top" wrapText="1"/>
    </xf>
    <xf numFmtId="0" fontId="3" fillId="9" borderId="54" xfId="0" applyFont="1" applyFill="1" applyBorder="1" applyAlignment="1">
      <alignment horizontal="left" vertical="center" wrapText="1"/>
    </xf>
    <xf numFmtId="0" fontId="3" fillId="9" borderId="32" xfId="0" applyFont="1" applyFill="1" applyBorder="1" applyAlignment="1">
      <alignment horizontal="left" vertical="center" wrapText="1"/>
    </xf>
    <xf numFmtId="0" fontId="3" fillId="9" borderId="55" xfId="0" applyFont="1" applyFill="1" applyBorder="1" applyAlignment="1">
      <alignment horizontal="left" vertical="center" wrapText="1"/>
    </xf>
    <xf numFmtId="0" fontId="23" fillId="9" borderId="96" xfId="0" applyNumberFormat="1" applyFont="1" applyFill="1" applyBorder="1" applyAlignment="1" applyProtection="1">
      <alignment horizontal="left" vertical="top" wrapText="1"/>
      <protection locked="0"/>
    </xf>
    <xf numFmtId="0" fontId="23" fillId="9" borderId="97" xfId="0" applyNumberFormat="1" applyFont="1" applyFill="1" applyBorder="1" applyAlignment="1" applyProtection="1">
      <alignment horizontal="left" vertical="top" wrapText="1"/>
      <protection locked="0"/>
    </xf>
    <xf numFmtId="0" fontId="23" fillId="9" borderId="98" xfId="0" applyNumberFormat="1" applyFont="1" applyFill="1" applyBorder="1" applyAlignment="1" applyProtection="1">
      <alignment horizontal="left" vertical="top" wrapText="1"/>
      <protection locked="0"/>
    </xf>
    <xf numFmtId="0" fontId="3" fillId="9" borderId="35" xfId="0" applyFont="1" applyFill="1" applyBorder="1" applyAlignment="1">
      <alignment horizontal="left" vertical="top" wrapText="1"/>
    </xf>
    <xf numFmtId="0" fontId="0" fillId="9" borderId="1" xfId="0" applyFill="1" applyBorder="1" applyAlignment="1">
      <alignment horizontal="left" vertical="top" wrapText="1"/>
    </xf>
    <xf numFmtId="0" fontId="0" fillId="9" borderId="23" xfId="0" applyFill="1" applyBorder="1" applyAlignment="1">
      <alignment horizontal="left" vertical="top" wrapText="1"/>
    </xf>
    <xf numFmtId="0" fontId="0" fillId="9" borderId="2" xfId="0" applyFill="1" applyBorder="1" applyAlignment="1">
      <alignment horizontal="left" vertical="top" wrapText="1"/>
    </xf>
    <xf numFmtId="0" fontId="0" fillId="9" borderId="0" xfId="0" applyFill="1" applyBorder="1" applyAlignment="1">
      <alignment horizontal="left" vertical="top" wrapText="1"/>
    </xf>
    <xf numFmtId="0" fontId="0" fillId="9" borderId="39" xfId="0" applyFill="1" applyBorder="1" applyAlignment="1">
      <alignment horizontal="left" vertical="top" wrapText="1"/>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9" fillId="9" borderId="35" xfId="0" applyFont="1" applyFill="1" applyBorder="1" applyAlignment="1">
      <alignment horizontal="center" vertical="center" textRotation="90" wrapText="1"/>
    </xf>
    <xf numFmtId="0" fontId="9" fillId="9" borderId="23" xfId="0" applyFont="1" applyFill="1" applyBorder="1" applyAlignment="1">
      <alignment horizontal="center" vertical="center" textRotation="90" wrapText="1"/>
    </xf>
    <xf numFmtId="0" fontId="9" fillId="9" borderId="2" xfId="0" applyFont="1" applyFill="1" applyBorder="1" applyAlignment="1">
      <alignment horizontal="center" vertical="center" textRotation="90" wrapText="1"/>
    </xf>
    <xf numFmtId="0" fontId="9" fillId="9" borderId="39" xfId="0" applyFont="1" applyFill="1" applyBorder="1" applyAlignment="1">
      <alignment horizontal="center" vertical="center" textRotation="90" wrapText="1"/>
    </xf>
    <xf numFmtId="0" fontId="9" fillId="9" borderId="22" xfId="0" applyFont="1" applyFill="1" applyBorder="1" applyAlignment="1">
      <alignment horizontal="center" vertical="center" textRotation="90" wrapText="1"/>
    </xf>
    <xf numFmtId="0" fontId="9" fillId="9" borderId="11" xfId="0" applyFont="1" applyFill="1" applyBorder="1" applyAlignment="1">
      <alignment horizontal="center" vertical="center" textRotation="90" wrapText="1"/>
    </xf>
    <xf numFmtId="0" fontId="15" fillId="17" borderId="74" xfId="0" applyFont="1" applyFill="1" applyBorder="1" applyAlignment="1">
      <alignment wrapText="1"/>
    </xf>
    <xf numFmtId="0" fontId="15" fillId="17" borderId="75" xfId="0" applyFont="1" applyFill="1" applyBorder="1" applyAlignment="1">
      <alignment wrapText="1"/>
    </xf>
    <xf numFmtId="0" fontId="15" fillId="17" borderId="76" xfId="0" applyFont="1" applyFill="1" applyBorder="1" applyAlignment="1">
      <alignment wrapText="1"/>
    </xf>
    <xf numFmtId="0" fontId="50" fillId="9" borderId="35" xfId="0" applyFont="1" applyFill="1" applyBorder="1" applyAlignment="1">
      <alignment horizontal="left" vertical="center" wrapText="1"/>
    </xf>
    <xf numFmtId="0" fontId="50" fillId="9" borderId="1" xfId="0" applyFont="1" applyFill="1" applyBorder="1" applyAlignment="1">
      <alignment horizontal="left" vertical="center" wrapText="1"/>
    </xf>
    <xf numFmtId="0" fontId="50" fillId="9" borderId="23" xfId="0" applyFont="1" applyFill="1" applyBorder="1" applyAlignment="1">
      <alignment horizontal="left" vertical="center" wrapText="1"/>
    </xf>
    <xf numFmtId="0" fontId="3" fillId="9" borderId="10" xfId="0" applyFont="1" applyFill="1" applyBorder="1" applyAlignment="1">
      <alignment vertical="center" wrapText="1"/>
    </xf>
    <xf numFmtId="0" fontId="3" fillId="9" borderId="5" xfId="0" applyFont="1" applyFill="1" applyBorder="1" applyAlignment="1">
      <alignment vertical="center" wrapText="1"/>
    </xf>
    <xf numFmtId="0" fontId="3" fillId="9" borderId="6" xfId="0" applyFont="1" applyFill="1" applyBorder="1" applyAlignment="1">
      <alignment vertical="center" wrapText="1"/>
    </xf>
    <xf numFmtId="0" fontId="111" fillId="12" borderId="35" xfId="0" applyNumberFormat="1" applyFont="1" applyFill="1" applyBorder="1" applyAlignment="1" applyProtection="1">
      <alignment horizontal="center" vertical="center" wrapText="1"/>
      <protection locked="0"/>
    </xf>
    <xf numFmtId="0" fontId="111" fillId="12" borderId="1" xfId="0" applyNumberFormat="1" applyFont="1" applyFill="1" applyBorder="1" applyAlignment="1" applyProtection="1">
      <alignment horizontal="center" vertical="center" wrapText="1"/>
      <protection locked="0"/>
    </xf>
    <xf numFmtId="0" fontId="111" fillId="12" borderId="23" xfId="0" applyNumberFormat="1" applyFont="1" applyFill="1" applyBorder="1" applyAlignment="1" applyProtection="1">
      <alignment horizontal="center" vertical="center" wrapText="1"/>
      <protection locked="0"/>
    </xf>
    <xf numFmtId="0" fontId="3" fillId="9" borderId="96" xfId="0" applyFont="1" applyFill="1" applyBorder="1" applyAlignment="1">
      <alignment horizontal="left" vertical="center" wrapText="1"/>
    </xf>
    <xf numFmtId="0" fontId="3" fillId="9" borderId="97" xfId="0" applyFont="1" applyFill="1" applyBorder="1" applyAlignment="1">
      <alignment horizontal="left" vertical="center" wrapText="1"/>
    </xf>
    <xf numFmtId="0" fontId="111" fillId="9" borderId="35" xfId="0" applyFont="1" applyFill="1" applyBorder="1" applyAlignment="1">
      <alignment vertical="center" wrapText="1"/>
    </xf>
    <xf numFmtId="0" fontId="111" fillId="9" borderId="1" xfId="0" applyFont="1" applyFill="1" applyBorder="1" applyAlignment="1">
      <alignment vertical="center" wrapText="1"/>
    </xf>
    <xf numFmtId="0" fontId="111" fillId="9" borderId="23" xfId="0" applyFont="1" applyFill="1" applyBorder="1" applyAlignment="1">
      <alignment vertical="center" wrapText="1"/>
    </xf>
    <xf numFmtId="0" fontId="111" fillId="9" borderId="2" xfId="0" applyFont="1" applyFill="1" applyBorder="1" applyAlignment="1">
      <alignment vertical="center" wrapText="1"/>
    </xf>
    <xf numFmtId="0" fontId="111" fillId="9" borderId="0" xfId="0" applyFont="1" applyFill="1" applyBorder="1" applyAlignment="1">
      <alignment vertical="center" wrapText="1"/>
    </xf>
    <xf numFmtId="0" fontId="111" fillId="9" borderId="39" xfId="0" applyFont="1" applyFill="1" applyBorder="1" applyAlignment="1">
      <alignment vertical="center" wrapText="1"/>
    </xf>
    <xf numFmtId="0" fontId="111" fillId="9" borderId="22" xfId="0" applyFont="1" applyFill="1" applyBorder="1" applyAlignment="1">
      <alignment vertical="center" wrapText="1"/>
    </xf>
    <xf numFmtId="0" fontId="111" fillId="9" borderId="12" xfId="0" applyFont="1" applyFill="1" applyBorder="1" applyAlignment="1">
      <alignment vertical="center" wrapText="1"/>
    </xf>
    <xf numFmtId="0" fontId="111" fillId="9" borderId="11" xfId="0" applyFont="1" applyFill="1" applyBorder="1" applyAlignment="1">
      <alignment vertical="center" wrapText="1"/>
    </xf>
    <xf numFmtId="0" fontId="25" fillId="10" borderId="10" xfId="0" applyFont="1" applyFill="1" applyBorder="1" applyAlignment="1">
      <alignment horizontal="center" wrapText="1"/>
    </xf>
    <xf numFmtId="0" fontId="25" fillId="10" borderId="5" xfId="0" applyFont="1" applyFill="1" applyBorder="1" applyAlignment="1">
      <alignment horizontal="center" wrapText="1"/>
    </xf>
    <xf numFmtId="0" fontId="25" fillId="10" borderId="6" xfId="0" applyFont="1" applyFill="1" applyBorder="1" applyAlignment="1">
      <alignment horizontal="center" wrapText="1"/>
    </xf>
    <xf numFmtId="0" fontId="3" fillId="9" borderId="56" xfId="0" applyFont="1" applyFill="1" applyBorder="1" applyAlignment="1">
      <alignment horizontal="left" vertical="center" wrapText="1"/>
    </xf>
    <xf numFmtId="0" fontId="0" fillId="9" borderId="35" xfId="0" applyFill="1" applyBorder="1" applyAlignment="1">
      <alignment vertical="center" wrapText="1"/>
    </xf>
    <xf numFmtId="0" fontId="0" fillId="9" borderId="1" xfId="0" applyFill="1" applyBorder="1" applyAlignment="1">
      <alignment vertical="center" wrapText="1"/>
    </xf>
    <xf numFmtId="0" fontId="0" fillId="9" borderId="23" xfId="0" applyFill="1" applyBorder="1" applyAlignment="1">
      <alignment vertical="center" wrapText="1"/>
    </xf>
    <xf numFmtId="0" fontId="0" fillId="9" borderId="2" xfId="0" applyFill="1" applyBorder="1" applyAlignment="1">
      <alignment vertical="center" wrapText="1"/>
    </xf>
    <xf numFmtId="0" fontId="0" fillId="9" borderId="0" xfId="0" applyFill="1" applyBorder="1" applyAlignment="1">
      <alignment vertical="center" wrapText="1"/>
    </xf>
    <xf numFmtId="0" fontId="0" fillId="9" borderId="39" xfId="0" applyFill="1" applyBorder="1" applyAlignment="1">
      <alignment vertical="center" wrapText="1"/>
    </xf>
    <xf numFmtId="0" fontId="0" fillId="9" borderId="22" xfId="0" applyFill="1" applyBorder="1" applyAlignment="1">
      <alignment vertical="center" wrapText="1"/>
    </xf>
    <xf numFmtId="0" fontId="0" fillId="9" borderId="12" xfId="0" applyFill="1" applyBorder="1" applyAlignment="1">
      <alignment vertical="center" wrapText="1"/>
    </xf>
    <xf numFmtId="0" fontId="0" fillId="9" borderId="11" xfId="0" applyFill="1" applyBorder="1" applyAlignment="1">
      <alignment vertical="center" wrapText="1"/>
    </xf>
    <xf numFmtId="168" fontId="23" fillId="9" borderId="26" xfId="0" applyNumberFormat="1" applyFont="1" applyFill="1" applyBorder="1" applyAlignment="1" applyProtection="1">
      <alignment horizontal="center" wrapText="1"/>
      <protection locked="0"/>
    </xf>
    <xf numFmtId="168" fontId="23" fillId="9" borderId="92" xfId="0" applyNumberFormat="1" applyFont="1" applyFill="1" applyBorder="1" applyAlignment="1" applyProtection="1">
      <alignment horizontal="center" wrapText="1"/>
      <protection locked="0"/>
    </xf>
    <xf numFmtId="168" fontId="23" fillId="9" borderId="93" xfId="0" applyNumberFormat="1" applyFont="1" applyFill="1" applyBorder="1" applyAlignment="1" applyProtection="1">
      <alignment horizontal="center" wrapText="1"/>
      <protection locked="0"/>
    </xf>
    <xf numFmtId="0" fontId="23" fillId="9" borderId="7" xfId="0" applyNumberFormat="1" applyFont="1" applyFill="1" applyBorder="1" applyAlignment="1" applyProtection="1">
      <alignment horizontal="left" wrapText="1"/>
      <protection locked="0"/>
    </xf>
    <xf numFmtId="0" fontId="23" fillId="9" borderId="8" xfId="0" applyNumberFormat="1" applyFont="1" applyFill="1" applyBorder="1" applyAlignment="1" applyProtection="1">
      <alignment horizontal="left" wrapText="1"/>
      <protection locked="0"/>
    </xf>
    <xf numFmtId="0" fontId="23" fillId="9" borderId="94" xfId="0" applyNumberFormat="1" applyFont="1" applyFill="1" applyBorder="1" applyAlignment="1" applyProtection="1">
      <alignment horizontal="left" wrapText="1"/>
      <protection locked="0"/>
    </xf>
    <xf numFmtId="0" fontId="3" fillId="9" borderId="26" xfId="0" applyFont="1" applyFill="1" applyBorder="1" applyAlignment="1">
      <alignment vertical="center"/>
    </xf>
    <xf numFmtId="0" fontId="3" fillId="9" borderId="27" xfId="0" applyFont="1" applyFill="1" applyBorder="1" applyAlignment="1">
      <alignment vertical="center"/>
    </xf>
    <xf numFmtId="0" fontId="3" fillId="9" borderId="25" xfId="0" applyFont="1" applyFill="1" applyBorder="1" applyAlignment="1">
      <alignment vertical="center"/>
    </xf>
    <xf numFmtId="0" fontId="23" fillId="9" borderId="35" xfId="0" applyFont="1" applyFill="1" applyBorder="1" applyAlignment="1" applyProtection="1">
      <alignment horizontal="left" wrapText="1"/>
      <protection locked="0"/>
    </xf>
    <xf numFmtId="0" fontId="23" fillId="9" borderId="1" xfId="0" applyFont="1" applyFill="1" applyBorder="1" applyAlignment="1" applyProtection="1">
      <alignment horizontal="left" wrapText="1"/>
      <protection locked="0"/>
    </xf>
    <xf numFmtId="0" fontId="23" fillId="9" borderId="23" xfId="0" applyFont="1" applyFill="1" applyBorder="1" applyAlignment="1" applyProtection="1">
      <alignment horizontal="left" wrapText="1"/>
      <protection locked="0"/>
    </xf>
    <xf numFmtId="2" fontId="23" fillId="9" borderId="56" xfId="0" applyNumberFormat="1" applyFont="1" applyFill="1" applyBorder="1" applyAlignment="1" applyProtection="1">
      <alignment horizontal="center" wrapText="1"/>
      <protection locked="0"/>
    </xf>
    <xf numFmtId="2" fontId="23" fillId="9" borderId="8" xfId="0" applyNumberFormat="1" applyFont="1" applyFill="1" applyBorder="1" applyAlignment="1" applyProtection="1">
      <alignment horizontal="center" wrapText="1"/>
      <protection locked="0"/>
    </xf>
    <xf numFmtId="2" fontId="23" fillId="9" borderId="57" xfId="0" applyNumberFormat="1" applyFont="1" applyFill="1" applyBorder="1" applyAlignment="1" applyProtection="1">
      <alignment horizontal="center" wrapText="1"/>
      <protection locked="0"/>
    </xf>
    <xf numFmtId="2" fontId="23" fillId="9" borderId="4" xfId="0" applyNumberFormat="1" applyFont="1" applyFill="1" applyBorder="1" applyAlignment="1" applyProtection="1">
      <alignment horizontal="center" wrapText="1"/>
      <protection locked="0"/>
    </xf>
    <xf numFmtId="2" fontId="23" fillId="9" borderId="0" xfId="0" applyNumberFormat="1" applyFont="1" applyFill="1" applyBorder="1" applyAlignment="1" applyProtection="1">
      <alignment horizontal="center" wrapText="1"/>
      <protection locked="0"/>
    </xf>
    <xf numFmtId="2" fontId="23" fillId="9" borderId="47" xfId="0" applyNumberFormat="1" applyFont="1" applyFill="1" applyBorder="1" applyAlignment="1" applyProtection="1">
      <alignment horizontal="center" wrapText="1"/>
      <protection locked="0"/>
    </xf>
    <xf numFmtId="0" fontId="3" fillId="9" borderId="56" xfId="0" applyFont="1" applyFill="1" applyBorder="1" applyAlignment="1">
      <alignment horizontal="right" vertical="center" wrapText="1"/>
    </xf>
    <xf numFmtId="0" fontId="3" fillId="9" borderId="8" xfId="0" applyFont="1" applyFill="1" applyBorder="1" applyAlignment="1">
      <alignment horizontal="right" vertical="center" wrapText="1"/>
    </xf>
    <xf numFmtId="0" fontId="3" fillId="9" borderId="57" xfId="0" applyFont="1" applyFill="1" applyBorder="1" applyAlignment="1">
      <alignment horizontal="right" vertical="center" wrapText="1"/>
    </xf>
    <xf numFmtId="0" fontId="3" fillId="9" borderId="54" xfId="0" applyFont="1" applyFill="1" applyBorder="1" applyAlignment="1">
      <alignment horizontal="right" vertical="center" wrapText="1"/>
    </xf>
    <xf numFmtId="0" fontId="3" fillId="9" borderId="32" xfId="0" applyFont="1" applyFill="1" applyBorder="1" applyAlignment="1">
      <alignment horizontal="right" vertical="center" wrapText="1"/>
    </xf>
    <xf numFmtId="0" fontId="3" fillId="9" borderId="55" xfId="0" applyFont="1" applyFill="1" applyBorder="1" applyAlignment="1">
      <alignment horizontal="right" vertical="center" wrapText="1"/>
    </xf>
    <xf numFmtId="0" fontId="4" fillId="12" borderId="28" xfId="0" applyNumberFormat="1" applyFont="1" applyFill="1" applyBorder="1" applyAlignment="1" applyProtection="1">
      <alignment horizontal="center" vertical="center" wrapText="1"/>
      <protection locked="0"/>
    </xf>
    <xf numFmtId="0" fontId="4" fillId="12" borderId="68" xfId="0" applyNumberFormat="1" applyFont="1" applyFill="1" applyBorder="1" applyAlignment="1" applyProtection="1">
      <alignment horizontal="center" vertical="center" wrapText="1"/>
      <protection locked="0"/>
    </xf>
    <xf numFmtId="0" fontId="50" fillId="9" borderId="35" xfId="0" applyFont="1" applyFill="1" applyBorder="1" applyAlignment="1">
      <alignment wrapText="1"/>
    </xf>
    <xf numFmtId="0" fontId="50" fillId="9" borderId="1" xfId="0" applyFont="1" applyFill="1" applyBorder="1" applyAlignment="1">
      <alignment wrapText="1"/>
    </xf>
    <xf numFmtId="0" fontId="50" fillId="9" borderId="23" xfId="0" applyFont="1" applyFill="1" applyBorder="1" applyAlignment="1">
      <alignment wrapText="1"/>
    </xf>
    <xf numFmtId="0" fontId="50" fillId="9" borderId="10" xfId="0" applyFont="1" applyFill="1" applyBorder="1" applyAlignment="1">
      <alignment wrapText="1"/>
    </xf>
    <xf numFmtId="0" fontId="50" fillId="9" borderId="5" xfId="0" applyFont="1" applyFill="1" applyBorder="1" applyAlignment="1">
      <alignment wrapText="1"/>
    </xf>
    <xf numFmtId="0" fontId="50" fillId="9" borderId="6" xfId="0" applyFont="1" applyFill="1" applyBorder="1" applyAlignment="1">
      <alignment wrapText="1"/>
    </xf>
    <xf numFmtId="0" fontId="25" fillId="9" borderId="64" xfId="0" applyFont="1" applyFill="1" applyBorder="1" applyAlignment="1" applyProtection="1">
      <alignment horizontal="left" wrapText="1"/>
      <protection locked="0"/>
    </xf>
    <xf numFmtId="0" fontId="25" fillId="9" borderId="64" xfId="0" applyFont="1" applyFill="1" applyBorder="1" applyAlignment="1" applyProtection="1">
      <alignment horizontal="center"/>
      <protection locked="0"/>
    </xf>
    <xf numFmtId="0" fontId="25" fillId="9" borderId="50" xfId="0" applyFont="1" applyFill="1" applyBorder="1" applyAlignment="1" applyProtection="1">
      <alignment horizontal="center"/>
      <protection locked="0"/>
    </xf>
    <xf numFmtId="0" fontId="25" fillId="9" borderId="65" xfId="0" applyFont="1" applyFill="1" applyBorder="1" applyAlignment="1" applyProtection="1">
      <alignment horizontal="center"/>
      <protection locked="0"/>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812">
    <dxf>
      <font>
        <color theme="0"/>
      </font>
      <fill>
        <patternFill>
          <bgColor theme="0"/>
        </patternFill>
      </fill>
      <border>
        <left/>
        <right/>
        <top/>
        <bottom/>
      </border>
    </dxf>
    <dxf>
      <font>
        <color theme="0"/>
      </font>
      <fill>
        <patternFill>
          <bgColor theme="0"/>
        </patternFill>
      </fill>
      <border>
        <left style="thin">
          <color indexed="64"/>
        </left>
        <right/>
        <top/>
        <bottom/>
      </border>
    </dxf>
    <dxf>
      <font>
        <color theme="1"/>
      </font>
      <fill>
        <patternFill>
          <bgColor rgb="FFFFFF00"/>
        </patternFill>
      </fill>
      <border>
        <left style="thin">
          <color indexed="64"/>
        </left>
        <right style="thin">
          <color indexed="64"/>
        </right>
        <top style="thin">
          <color indexed="64"/>
        </top>
        <bottom style="thin">
          <color indexed="64"/>
        </bottom>
      </border>
    </dxf>
    <dxf>
      <font>
        <b/>
        <i val="0"/>
        <color theme="0"/>
      </font>
      <fill>
        <patternFill>
          <bgColor rgb="FF7030A0"/>
        </patternFill>
      </fill>
    </dxf>
    <dxf>
      <font>
        <condense val="0"/>
        <extend val="0"/>
        <color indexed="9"/>
      </font>
      <fill>
        <patternFill>
          <bgColor indexed="9"/>
        </patternFill>
      </fill>
      <border>
        <left/>
        <right/>
        <top/>
        <bottom/>
      </border>
    </dxf>
    <dxf>
      <font>
        <b/>
        <i val="0"/>
        <color indexed="9"/>
        <name val="Cambria"/>
        <scheme val="none"/>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9"/>
      </font>
      <fill>
        <patternFill>
          <bgColor indexed="20"/>
        </patternFill>
      </fill>
    </dxf>
    <dxf>
      <font>
        <condense val="0"/>
        <extend val="0"/>
        <color indexed="9"/>
      </font>
      <fill>
        <patternFill>
          <bgColor indexed="9"/>
        </patternFill>
      </fill>
      <border>
        <left/>
        <right/>
        <top/>
        <bottom/>
      </border>
    </dxf>
    <dxf>
      <font>
        <b/>
        <i val="0"/>
        <color indexed="9"/>
      </font>
      <fill>
        <patternFill>
          <bgColor indexed="20"/>
        </patternFill>
      </fill>
    </dxf>
    <dxf>
      <font>
        <condense val="0"/>
        <extend val="0"/>
        <color indexed="9"/>
      </font>
      <fill>
        <patternFill>
          <bgColor indexed="26"/>
        </patternFill>
      </fill>
      <border>
        <left/>
        <right/>
        <top/>
        <bottom/>
      </border>
    </dxf>
    <dxf>
      <font>
        <b/>
        <i val="0"/>
        <color indexed="9"/>
      </font>
      <fill>
        <patternFill>
          <bgColor indexed="20"/>
        </patternFill>
      </fill>
    </dxf>
    <dxf>
      <font>
        <condense val="0"/>
        <extend val="0"/>
        <color indexed="26"/>
      </font>
      <fill>
        <patternFill>
          <bgColor indexed="9"/>
        </patternFill>
      </fill>
      <border>
        <left/>
        <right/>
        <top/>
        <bottom/>
      </border>
    </dxf>
    <dxf>
      <font>
        <b/>
        <i val="0"/>
        <color indexed="9"/>
      </font>
      <fill>
        <patternFill>
          <bgColor indexed="20"/>
        </patternFill>
      </fill>
    </dxf>
    <dxf>
      <font>
        <color indexed="9"/>
      </font>
      <fill>
        <patternFill>
          <bgColor indexed="9"/>
        </patternFill>
      </fill>
      <border>
        <left/>
        <right/>
        <top/>
        <bottom/>
      </border>
    </dxf>
    <dxf>
      <font>
        <condense val="0"/>
        <extend val="0"/>
        <color indexed="9"/>
      </font>
      <fill>
        <patternFill>
          <bgColor indexed="26"/>
        </patternFill>
      </fill>
      <border>
        <left/>
        <right/>
        <top/>
        <bottom/>
      </border>
    </dxf>
    <dxf>
      <font>
        <b/>
        <i val="0"/>
        <color indexed="9"/>
      </font>
      <fill>
        <patternFill>
          <bgColor indexed="20"/>
        </patternFill>
      </fill>
    </dxf>
    <dxf>
      <font>
        <b/>
        <i val="0"/>
        <color indexed="9"/>
        <name val="Cambria"/>
        <scheme val="none"/>
      </font>
      <fill>
        <patternFill>
          <bgColor indexed="10"/>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condense val="0"/>
        <extend val="0"/>
        <color indexed="9"/>
      </font>
      <fill>
        <patternFill patternType="solid">
          <bgColor indexed="9"/>
        </patternFill>
      </fill>
      <border>
        <left/>
        <right/>
        <top/>
        <bottom/>
      </border>
    </dxf>
    <dxf>
      <font>
        <b/>
        <i val="0"/>
        <color indexed="9"/>
      </font>
      <fill>
        <patternFill>
          <bgColor indexed="20"/>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b/>
        <i val="0"/>
        <color theme="0"/>
      </font>
      <fill>
        <patternFill>
          <bgColor rgb="FF80008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b val="0"/>
        <i val="0"/>
        <color theme="0"/>
      </font>
      <fill>
        <patternFill>
          <bgColor theme="0"/>
        </patternFill>
      </fill>
      <border>
        <left/>
        <right/>
        <top/>
        <bottom/>
      </border>
    </dxf>
    <dxf>
      <font>
        <b/>
        <i val="0"/>
        <color theme="0"/>
      </font>
      <fill>
        <patternFill>
          <bgColor rgb="FF800080"/>
        </patternFill>
      </fill>
    </dxf>
    <dxf>
      <font>
        <condense val="0"/>
        <extend val="0"/>
        <color indexed="9"/>
      </font>
      <fill>
        <patternFill>
          <bgColor indexed="9"/>
        </patternFill>
      </fill>
      <border>
        <left/>
        <right/>
        <top/>
        <bottom/>
      </border>
    </dxf>
    <dxf>
      <font>
        <b val="0"/>
        <i val="0"/>
        <color theme="0"/>
      </font>
      <fill>
        <patternFill>
          <bgColor theme="0"/>
        </patternFill>
      </fill>
      <border>
        <left/>
        <right/>
        <top/>
        <bottom/>
      </border>
    </dxf>
    <dxf>
      <font>
        <b/>
        <i val="0"/>
        <color theme="0"/>
      </font>
      <fill>
        <patternFill>
          <bgColor rgb="FF800080"/>
        </patternFill>
      </fill>
    </dxf>
    <dxf>
      <font>
        <condense val="0"/>
        <extend val="0"/>
        <color indexed="9"/>
      </font>
      <fill>
        <patternFill>
          <bgColor indexed="9"/>
        </patternFill>
      </fill>
      <border>
        <left/>
        <right/>
        <top/>
        <bottom/>
      </border>
    </dxf>
    <dxf>
      <font>
        <color theme="0"/>
      </font>
      <fill>
        <patternFill>
          <bgColor theme="0"/>
        </patternFill>
      </fill>
      <border>
        <left/>
        <right/>
        <top/>
        <bottom/>
      </border>
    </dxf>
    <dxf>
      <font>
        <color theme="0"/>
      </font>
      <fill>
        <patternFill>
          <bgColor theme="0"/>
        </patternFill>
      </fill>
      <border>
        <left/>
        <right/>
        <bottom/>
      </border>
    </dxf>
    <dxf>
      <font>
        <color theme="0"/>
      </font>
      <fill>
        <patternFill>
          <bgColor theme="0"/>
        </patternFill>
      </fill>
      <border>
        <left/>
        <right/>
        <top/>
        <bottom/>
      </border>
    </dxf>
    <dxf>
      <font>
        <b/>
        <i val="0"/>
        <color theme="0"/>
      </font>
      <fill>
        <patternFill>
          <bgColor rgb="FF800080"/>
        </patternFill>
      </fill>
    </dxf>
    <dxf>
      <font>
        <b/>
        <i val="0"/>
        <color theme="0"/>
      </font>
      <fill>
        <patternFill>
          <bgColor rgb="FF800080"/>
        </patternFill>
      </fill>
    </dxf>
    <dxf>
      <font>
        <color theme="0"/>
      </font>
      <fill>
        <patternFill>
          <bgColor theme="0"/>
        </patternFill>
      </fill>
      <border>
        <left/>
        <right/>
        <top/>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bgColor theme="0"/>
        </patternFill>
      </fill>
    </dxf>
    <dxf>
      <font>
        <color theme="1"/>
      </font>
    </dxf>
    <dxf>
      <font>
        <b/>
        <i val="0"/>
        <color theme="0"/>
      </font>
      <fill>
        <patternFill>
          <bgColor theme="0"/>
        </patternFill>
      </fill>
      <border>
        <left/>
        <right/>
        <top/>
        <bottom/>
      </border>
    </dxf>
    <dxf>
      <font>
        <b/>
        <i val="0"/>
        <color theme="0"/>
      </font>
      <fill>
        <patternFill>
          <bgColor rgb="FF800080"/>
        </patternFill>
      </fill>
    </dxf>
    <dxf>
      <font>
        <b/>
        <i val="0"/>
        <color theme="0"/>
      </font>
      <fill>
        <patternFill>
          <bgColor theme="0"/>
        </patternFill>
      </fill>
      <border>
        <left/>
        <right/>
        <top/>
        <bottom/>
      </border>
    </dxf>
    <dxf>
      <font>
        <color theme="0"/>
        <name val="Cambria"/>
        <scheme val="none"/>
      </font>
      <fill>
        <patternFill>
          <bgColor theme="0"/>
        </patternFill>
      </fill>
      <border>
        <left/>
        <right/>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condense val="0"/>
        <extend val="0"/>
        <color indexed="8"/>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2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condense val="0"/>
        <extend val="0"/>
        <color indexed="8"/>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20"/>
        </patternFill>
      </fill>
      <border>
        <left style="thin">
          <color indexed="64"/>
        </left>
        <right style="thin">
          <color indexed="64"/>
        </right>
        <top style="thin">
          <color indexed="64"/>
        </top>
        <bottom style="thin">
          <color indexed="64"/>
        </bottom>
      </border>
    </dxf>
    <dxf>
      <font>
        <condense val="0"/>
        <extend val="0"/>
        <color indexed="8"/>
      </font>
      <fill>
        <patternFill>
          <bgColor indexed="41"/>
        </patternFill>
      </fill>
    </dxf>
    <dxf>
      <font>
        <b/>
        <i val="0"/>
        <condense val="0"/>
        <extend val="0"/>
        <color indexed="9"/>
      </font>
      <fill>
        <patternFill>
          <bgColor indexed="20"/>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color theme="1"/>
      </font>
      <fill>
        <patternFill>
          <bgColor rgb="FFCCFFFF"/>
        </patternFill>
      </fill>
    </dxf>
    <dxf>
      <font>
        <b/>
        <i val="0"/>
        <color indexed="9"/>
      </font>
      <fill>
        <patternFill>
          <bgColor indexed="20"/>
        </patternFill>
      </fill>
    </dxf>
    <dxf>
      <font>
        <color theme="1"/>
      </font>
      <fill>
        <patternFill>
          <bgColor rgb="FFCCFFFF"/>
        </patternFill>
      </fill>
    </dxf>
    <dxf>
      <font>
        <b/>
        <i val="0"/>
        <color indexed="9"/>
      </font>
      <fill>
        <patternFill>
          <bgColor indexed="20"/>
        </patternFill>
      </fill>
    </dxf>
    <dxf>
      <font>
        <color theme="1"/>
      </font>
      <fill>
        <patternFill>
          <bgColor rgb="FFCCFFFF"/>
        </patternFill>
      </fill>
    </dxf>
    <dxf>
      <font>
        <b/>
        <i val="0"/>
        <color indexed="9"/>
      </font>
      <fill>
        <patternFill>
          <bgColor indexed="20"/>
        </patternFill>
      </fill>
    </dxf>
    <dxf>
      <font>
        <color theme="1"/>
      </font>
      <fill>
        <patternFill>
          <bgColor rgb="FFCCFFFF"/>
        </patternFill>
      </fill>
    </dxf>
    <dxf>
      <font>
        <b/>
        <i val="0"/>
        <color indexed="9"/>
      </font>
      <fill>
        <patternFill>
          <bgColor indexed="20"/>
        </patternFill>
      </fill>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color indexed="8"/>
      </font>
      <fill>
        <patternFill>
          <bgColor indexed="27"/>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bgColor theme="0"/>
        </patternFill>
      </fill>
    </dxf>
    <dxf>
      <font>
        <color theme="0"/>
      </font>
      <fill>
        <patternFill>
          <bgColor theme="0"/>
        </patternFill>
      </fill>
      <border>
        <right style="thin">
          <color indexed="64"/>
        </right>
        <top style="thin">
          <color indexed="64"/>
        </top>
        <bottom style="thin">
          <color indexed="64"/>
        </bottom>
      </border>
    </dxf>
    <dxf>
      <font>
        <color theme="0"/>
      </font>
      <fill>
        <patternFill>
          <bgColor theme="0"/>
        </patternFill>
      </fill>
      <border>
        <right style="thin">
          <color indexed="64"/>
        </right>
        <top style="thin">
          <color indexed="64"/>
        </top>
        <bottom style="thin">
          <color indexed="64"/>
        </bottom>
      </border>
    </dxf>
    <dxf>
      <font>
        <color theme="0"/>
      </font>
      <fill>
        <patternFill>
          <bgColor theme="0"/>
        </patternFill>
      </fill>
      <border>
        <left style="thin">
          <color indexed="64"/>
        </left>
        <top style="thin">
          <color indexed="64"/>
        </top>
        <bottom style="thin">
          <color indexed="64"/>
        </bottom>
      </border>
    </dxf>
    <dxf>
      <font>
        <color theme="0"/>
      </font>
      <fill>
        <patternFill>
          <bgColor theme="0"/>
        </patternFill>
      </fill>
      <border>
        <left/>
        <right/>
        <top style="thin">
          <color indexed="64"/>
        </top>
        <bottom style="thin">
          <color indexed="64"/>
        </bottom>
      </border>
    </dxf>
    <dxf>
      <font>
        <b/>
        <i val="0"/>
        <color indexed="9"/>
      </font>
      <fill>
        <patternFill>
          <bgColor indexed="36"/>
        </patternFill>
      </fill>
      <border>
        <left style="thin">
          <color indexed="64"/>
        </left>
        <right style="thin">
          <color indexed="64"/>
        </right>
        <top style="thin">
          <color indexed="64"/>
        </top>
        <bottom style="thin">
          <color indexed="64"/>
        </bottom>
      </border>
    </dxf>
    <dxf>
      <font>
        <color theme="0"/>
      </font>
      <fill>
        <patternFill>
          <bgColor theme="0"/>
        </patternFill>
      </fill>
      <border>
        <right style="thin">
          <color indexed="64"/>
        </right>
      </border>
    </dxf>
    <dxf>
      <font>
        <color theme="0"/>
      </font>
      <fill>
        <patternFill>
          <bgColor theme="0"/>
        </patternFill>
      </fill>
      <border>
        <right style="thin">
          <color indexed="64"/>
        </right>
      </border>
    </dxf>
    <dxf>
      <font>
        <color theme="0"/>
      </font>
      <fill>
        <patternFill>
          <bgColor theme="0"/>
        </patternFill>
      </fill>
      <border>
        <left/>
        <right/>
        <top style="thin">
          <color indexed="64"/>
        </top>
        <bottom style="thin">
          <color indexed="64"/>
        </bottom>
      </border>
    </dxf>
    <dxf>
      <font>
        <color theme="1"/>
      </font>
      <fill>
        <patternFill>
          <bgColor rgb="FF00FF00"/>
        </patternFill>
      </fill>
      <border>
        <left style="thin">
          <color indexed="64"/>
        </left>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color theme="0"/>
        <name val="Cambria"/>
        <scheme val="none"/>
      </font>
      <fill>
        <patternFill>
          <bgColor theme="0"/>
        </patternFill>
      </fill>
      <border>
        <left/>
        <right style="thin">
          <color indexed="64"/>
        </right>
        <top style="thin">
          <color indexed="64"/>
        </top>
        <bottom style="thin">
          <color indexed="64"/>
        </bottom>
      </border>
    </dxf>
    <dxf>
      <font>
        <color theme="0"/>
        <name val="Cambria"/>
        <scheme val="none"/>
      </font>
      <fill>
        <patternFill>
          <bgColor theme="0"/>
        </patternFill>
      </fill>
      <border>
        <left/>
        <right style="thin">
          <color indexed="64"/>
        </right>
        <top style="thin">
          <color indexed="64"/>
        </top>
        <bottom style="thin">
          <color indexed="64"/>
        </bottom>
      </border>
    </dxf>
    <dxf>
      <font>
        <b val="0"/>
        <i val="0"/>
        <color theme="0"/>
        <name val="Cambria"/>
        <scheme val="none"/>
      </font>
      <fill>
        <patternFill>
          <bgColor theme="0"/>
        </patternFill>
      </fill>
      <border>
        <left/>
        <right style="thin">
          <color indexed="64"/>
        </right>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b val="0"/>
        <i val="0"/>
        <color theme="0"/>
        <name val="Cambria"/>
        <scheme val="none"/>
      </font>
      <fill>
        <patternFill>
          <bgColor theme="0"/>
        </patternFill>
      </fill>
      <border>
        <left/>
        <right style="thin">
          <color indexed="64"/>
        </right>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top style="thin">
          <color indexed="64"/>
        </top>
        <bottom style="thin">
          <color indexed="64"/>
        </bottom>
      </border>
    </dxf>
    <dxf>
      <font>
        <color theme="0"/>
        <name val="Cambria"/>
        <scheme val="none"/>
      </font>
      <fill>
        <patternFill>
          <bgColor theme="0"/>
        </patternFill>
      </fill>
      <border>
        <left/>
        <right/>
        <top style="thin">
          <color indexed="64"/>
        </top>
        <bottom style="thin">
          <color indexed="64"/>
        </bottom>
      </border>
    </dxf>
    <dxf>
      <font>
        <b/>
        <i val="0"/>
        <color theme="0"/>
      </font>
      <fill>
        <patternFill>
          <bgColor rgb="FFFF0000"/>
        </patternFill>
      </fill>
      <border>
        <left/>
        <right/>
        <top style="thin">
          <color indexed="64"/>
        </top>
        <bottom style="thin">
          <color indexed="64"/>
        </bottom>
      </border>
    </dxf>
    <dxf>
      <font>
        <b/>
        <i val="0"/>
        <color theme="0"/>
      </font>
      <fill>
        <patternFill>
          <bgColor rgb="FFFF0000"/>
        </patternFill>
      </fill>
      <border>
        <right/>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color rgb="FFFF0000"/>
      </font>
      <fill>
        <patternFill>
          <bgColor rgb="FFFF0000"/>
        </patternFill>
      </fill>
      <border>
        <left/>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color rgb="FFFF0000"/>
      </font>
      <fill>
        <patternFill>
          <bgColor rgb="FFFF0000"/>
        </patternFill>
      </fill>
      <border>
        <left/>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color theme="0"/>
      </font>
      <fill>
        <patternFill>
          <bgColor theme="0"/>
        </patternFill>
      </fill>
    </dxf>
    <dxf>
      <font>
        <color theme="0"/>
      </font>
      <fill>
        <patternFill>
          <bgColor theme="0"/>
        </patternFill>
      </fill>
      <border>
        <left/>
        <right/>
        <top/>
        <bottom/>
      </border>
    </dxf>
    <dxf>
      <font>
        <color rgb="FF0070C0"/>
        <name val="Cambria"/>
        <scheme val="none"/>
      </font>
      <fill>
        <patternFill>
          <bgColor rgb="FF0070C0"/>
        </patternFill>
      </fill>
      <border>
        <left/>
        <right/>
        <top style="thin">
          <color indexed="64"/>
        </top>
        <bottom style="thin">
          <color indexed="64"/>
        </bottom>
      </border>
    </dxf>
    <dxf>
      <font>
        <color theme="1"/>
      </font>
      <border>
        <left style="thin">
          <color indexed="64"/>
        </left>
        <right style="thin">
          <color indexed="64"/>
        </right>
        <bottom style="thin">
          <color indexed="64"/>
        </bottom>
      </border>
    </dxf>
    <dxf>
      <font>
        <color rgb="FFFF0000"/>
      </font>
      <fill>
        <patternFill>
          <bgColor rgb="FFFF0000"/>
        </patternFill>
      </fill>
      <border>
        <right style="thin">
          <color indexed="64"/>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color rgb="FF0070C0"/>
        <name val="Cambria"/>
        <scheme val="none"/>
      </font>
      <fill>
        <patternFill>
          <bgColor rgb="FF0070C0"/>
        </patternFill>
      </fill>
      <border>
        <left/>
        <right/>
        <top style="thin">
          <color indexed="64"/>
        </top>
        <bottom style="thin">
          <color indexed="64"/>
        </bottom>
      </border>
    </dxf>
    <dxf>
      <font>
        <color rgb="FF0070C0"/>
        <name val="Cambria"/>
        <scheme val="none"/>
      </font>
      <fill>
        <patternFill>
          <bgColor rgb="FF0070C0"/>
        </patternFill>
      </fill>
      <border>
        <left/>
        <right style="thin">
          <color indexed="64"/>
        </right>
        <top style="thin">
          <color indexed="64"/>
        </top>
        <bottom style="thin">
          <color indexed="64"/>
        </bottom>
      </border>
    </dxf>
    <dxf>
      <font>
        <b/>
        <i val="0"/>
        <color rgb="FFFF0000"/>
      </font>
      <fill>
        <patternFill>
          <bgColor rgb="FFFF0000"/>
        </patternFill>
      </fill>
      <border>
        <left/>
        <right/>
        <top style="thin">
          <color indexed="64"/>
        </top>
        <bottom style="thin">
          <color indexed="64"/>
        </bottom>
      </border>
    </dxf>
    <dxf>
      <font>
        <b/>
        <i val="0"/>
        <color theme="0"/>
      </font>
      <fill>
        <patternFill>
          <bgColor rgb="FFFF0000"/>
        </patternFill>
      </fill>
      <border>
        <left style="thin">
          <color indexed="64"/>
        </left>
        <top style="thin">
          <color indexed="64"/>
        </top>
        <bottom style="thin">
          <color indexed="64"/>
        </bottom>
      </border>
    </dxf>
    <dxf>
      <font>
        <b/>
        <i val="0"/>
        <color theme="0"/>
      </font>
      <fill>
        <patternFill>
          <bgColor rgb="FF800080"/>
        </patternFill>
      </fill>
    </dxf>
    <dxf>
      <font>
        <color theme="0"/>
      </font>
      <fill>
        <patternFill>
          <bgColor theme="0"/>
        </patternFill>
      </fill>
      <border>
        <left/>
        <right/>
        <top/>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val="0"/>
        <i/>
        <color theme="0"/>
      </font>
      <fill>
        <patternFill>
          <bgColor rgb="FFFF0000"/>
        </patternFill>
      </fill>
    </dxf>
    <dxf>
      <fill>
        <patternFill>
          <bgColor rgb="FFFFFF00"/>
        </patternFill>
      </fill>
    </dxf>
    <dxf>
      <fill>
        <patternFill>
          <bgColor rgb="FF99FF99"/>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theme="0"/>
        </patternFill>
      </fill>
      <border>
        <left/>
        <right/>
        <top/>
        <bottom/>
      </border>
    </dxf>
    <dxf>
      <font>
        <b/>
        <i val="0"/>
        <condense val="0"/>
        <extend val="0"/>
        <color indexed="9"/>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1"/>
      </font>
    </dxf>
    <dxf>
      <font>
        <color theme="0"/>
      </font>
      <fill>
        <patternFill>
          <bgColor theme="0"/>
        </patternFill>
      </fill>
      <border>
        <left/>
        <right style="thin">
          <color indexed="64"/>
        </right>
        <top style="thin">
          <color indexed="64"/>
        </top>
        <bottom style="thin">
          <color indexed="64"/>
        </bottom>
      </border>
    </dxf>
    <dxf>
      <font>
        <color theme="0"/>
      </font>
      <fill>
        <patternFill>
          <bgColor theme="0"/>
        </patternFill>
      </fill>
      <border>
        <left style="thin">
          <color indexed="64"/>
        </left>
        <right/>
        <top style="thin">
          <color indexed="64"/>
        </top>
        <bottom style="thin">
          <color indexed="64"/>
        </bottom>
      </border>
    </dxf>
    <dxf>
      <font>
        <color theme="0"/>
      </font>
      <fill>
        <patternFill>
          <bgColor theme="0"/>
        </patternFill>
      </fill>
      <border>
        <left/>
        <right/>
        <top style="thin">
          <color indexed="64"/>
        </top>
        <bottom style="thin">
          <color indexed="64"/>
        </bottom>
      </border>
    </dxf>
    <dxf>
      <font>
        <color theme="0"/>
      </font>
      <fill>
        <patternFill>
          <bgColor theme="0"/>
        </patternFill>
      </fill>
      <border>
        <left/>
        <right style="thin">
          <color indexed="64"/>
        </right>
        <top style="thin">
          <color indexed="64"/>
        </top>
        <bottom style="thin">
          <color indexed="64"/>
        </bottom>
      </border>
    </dxf>
    <dxf>
      <font>
        <b val="0"/>
        <i val="0"/>
        <condense val="0"/>
        <extend val="0"/>
        <color indexed="8"/>
      </font>
      <fill>
        <patternFill>
          <bgColor indexed="27"/>
        </patternFill>
      </fill>
    </dxf>
    <dxf>
      <font>
        <color theme="0"/>
      </font>
      <fill>
        <patternFill>
          <bgColor theme="0"/>
        </patternFill>
      </fill>
      <border>
        <left/>
        <right style="thin">
          <color indexed="64"/>
        </right>
        <top style="thin">
          <color indexed="64"/>
        </top>
        <bottom style="thin">
          <color indexed="64"/>
        </bottom>
      </border>
    </dxf>
    <dxf>
      <font>
        <color theme="0"/>
      </font>
      <fill>
        <patternFill>
          <bgColor theme="0"/>
        </patternFill>
      </fill>
    </dxf>
    <dxf>
      <border>
        <top style="thin">
          <color indexed="64"/>
        </top>
      </border>
    </dxf>
    <dxf>
      <font>
        <color theme="1"/>
      </font>
      <fill>
        <patternFill>
          <bgColor rgb="FFCCFFFF"/>
        </patternFill>
      </fill>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border>
        <top style="thin">
          <color indexed="64"/>
        </top>
      </border>
    </dxf>
    <dxf>
      <font>
        <color theme="1"/>
      </font>
      <fill>
        <patternFill>
          <bgColor rgb="FFCCFFFF"/>
        </patternFill>
      </fill>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lor rgb="FF000000"/>
      </font>
      <fill>
        <patternFill>
          <bgColor rgb="FFFF99CC"/>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rgb="FF800080"/>
        </patternFill>
      </fill>
    </dxf>
    <dxf>
      <font>
        <color indexed="8"/>
      </font>
      <fill>
        <patternFill>
          <bgColor indexed="45"/>
        </patternFill>
      </fill>
      <border>
        <left style="thin">
          <color indexed="64"/>
        </left>
        <right style="thin">
          <color indexed="64"/>
        </right>
        <top style="thin">
          <color indexed="64"/>
        </top>
        <bottom style="thin">
          <color indexed="64"/>
        </bottom>
      </border>
    </dxf>
    <dxf>
      <font>
        <b/>
        <i val="0"/>
        <color indexed="8"/>
      </font>
    </dxf>
    <dxf>
      <font>
        <b/>
        <i val="0"/>
        <color indexed="8"/>
      </font>
      <fill>
        <patternFill>
          <bgColor indexed="43"/>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1"/>
      </font>
      <fill>
        <patternFill>
          <bgColor rgb="FFFFFF99"/>
        </patternFill>
      </fill>
      <border>
        <left style="thin">
          <color indexed="64"/>
        </left>
        <right style="thin">
          <color indexed="64"/>
        </right>
        <top style="thin">
          <color indexed="64"/>
        </top>
        <bottom style="thin">
          <color indexed="64"/>
        </bottom>
      </border>
    </dxf>
    <dxf>
      <font>
        <color indexed="8"/>
      </font>
      <fill>
        <patternFill>
          <bgColor indexed="45"/>
        </patternFill>
      </fill>
      <border>
        <left style="thin">
          <color indexed="64"/>
        </left>
        <right style="thin">
          <color indexed="64"/>
        </right>
        <top style="thin">
          <color indexed="64"/>
        </top>
        <bottom style="thin">
          <color indexed="64"/>
        </bottom>
      </border>
    </dxf>
    <dxf>
      <font>
        <b/>
        <i val="0"/>
        <color indexed="9"/>
      </font>
      <fill>
        <patternFill>
          <bgColor rgb="FF800080"/>
        </patternFill>
      </fill>
      <border>
        <left style="thin">
          <color indexed="64"/>
        </left>
        <right style="thin">
          <color indexed="64"/>
        </right>
        <top style="thin">
          <color indexed="64"/>
        </top>
        <bottom style="thin">
          <color indexed="64"/>
        </bottom>
      </border>
    </dxf>
    <dxf>
      <font>
        <color theme="1"/>
      </font>
    </dxf>
    <dxf>
      <font>
        <b val="0"/>
        <i val="0"/>
        <color theme="0"/>
      </font>
      <fill>
        <patternFill>
          <bgColor theme="0"/>
        </patternFill>
      </fill>
      <border>
        <left/>
        <right/>
        <top style="thin">
          <color indexed="64"/>
        </top>
        <bottom/>
      </border>
    </dxf>
    <dxf>
      <font>
        <color theme="0"/>
      </font>
      <fill>
        <patternFill>
          <bgColor theme="0"/>
        </patternFill>
      </fill>
      <border>
        <left/>
        <right/>
        <top style="thin">
          <color indexed="64"/>
        </top>
        <bottom/>
      </border>
    </dxf>
    <dxf>
      <font>
        <b/>
        <i val="0"/>
        <color theme="0"/>
      </font>
      <fill>
        <patternFill>
          <bgColor rgb="FF800080"/>
        </patternFill>
      </fill>
    </dxf>
    <dxf>
      <font>
        <b/>
        <i val="0"/>
        <color indexed="9"/>
      </font>
      <fill>
        <patternFill>
          <bgColor indexed="36"/>
        </patternFill>
      </fill>
      <border>
        <left style="thin">
          <color indexed="64"/>
        </left>
        <right style="thin">
          <color indexed="64"/>
        </right>
        <top style="thin">
          <color indexed="64"/>
        </top>
        <bottom style="thin">
          <color indexed="64"/>
        </bottom>
      </border>
    </dxf>
    <dxf>
      <font>
        <b/>
        <i val="0"/>
        <color indexed="9"/>
      </font>
      <fill>
        <patternFill>
          <bgColor indexed="36"/>
        </patternFill>
      </fill>
    </dxf>
    <dxf>
      <font>
        <b/>
        <i val="0"/>
        <condense val="0"/>
        <extend val="0"/>
        <color indexed="9"/>
      </font>
      <fill>
        <patternFill>
          <bgColor indexed="36"/>
        </patternFill>
      </fill>
    </dxf>
    <dxf>
      <font>
        <condense val="0"/>
        <extend val="0"/>
        <color indexed="9"/>
      </font>
      <fill>
        <patternFill>
          <bgColor indexed="9"/>
        </patternFill>
      </fill>
      <border>
        <left/>
        <right/>
        <top/>
        <bottom/>
      </border>
    </dxf>
    <dxf>
      <font>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9"/>
      </font>
      <fill>
        <patternFill>
          <bgColor indexed="36"/>
        </patternFill>
      </fill>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indexed="9"/>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1"/>
      </font>
      <fill>
        <patternFill>
          <bgColor rgb="FFFFFF99"/>
        </patternFill>
      </fill>
    </dxf>
    <dxf>
      <font>
        <color theme="0"/>
      </font>
      <fill>
        <patternFill>
          <bgColor theme="0"/>
        </patternFill>
      </fill>
      <border>
        <left/>
        <right/>
        <top/>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dxf>
    <dxf>
      <font>
        <b/>
        <i val="0"/>
        <color indexed="9"/>
      </font>
      <fill>
        <patternFill>
          <bgColor indexed="36"/>
        </patternFill>
      </fill>
    </dxf>
    <dxf>
      <font>
        <b val="0"/>
        <i val="0"/>
        <condense val="0"/>
        <extend val="0"/>
        <color indexed="11"/>
      </font>
      <fill>
        <patternFill>
          <bgColor indexed="9"/>
        </patternFill>
      </fill>
      <border>
        <left/>
        <right/>
        <top/>
        <bottom/>
      </border>
    </dxf>
    <dxf>
      <font>
        <b val="0"/>
        <i val="0"/>
        <condense val="0"/>
        <extend val="0"/>
        <color indexed="9"/>
      </font>
      <fill>
        <patternFill>
          <bgColor indexed="9"/>
        </patternFill>
      </fill>
      <border>
        <left/>
        <right/>
        <top/>
        <bottom/>
      </border>
    </dxf>
    <dxf>
      <font>
        <b val="0"/>
        <i val="0"/>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theme="1"/>
      </font>
      <border>
        <left style="thin">
          <color indexed="64"/>
        </left>
        <right style="thin">
          <color indexed="64"/>
        </right>
        <top style="thin">
          <color indexed="64"/>
        </top>
        <bottom/>
      </border>
    </dxf>
    <dxf>
      <font>
        <b/>
        <i val="0"/>
        <color theme="0"/>
      </font>
      <fill>
        <patternFill>
          <bgColor rgb="FF800080"/>
        </patternFill>
      </fill>
      <border>
        <left/>
        <right style="thin">
          <color indexed="64"/>
        </right>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name val="Cambria"/>
        <scheme val="none"/>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indexed="9"/>
        <name val="Cambria"/>
        <scheme val="none"/>
      </font>
      <fill>
        <patternFill>
          <bgColor rgb="FF800080"/>
        </patternFill>
      </fill>
    </dxf>
    <dxf>
      <font>
        <condense val="0"/>
        <extend val="0"/>
        <color indexed="9"/>
      </font>
      <fill>
        <patternFill>
          <bgColor indexed="9"/>
        </patternFill>
      </fill>
      <border>
        <left/>
        <right/>
        <top/>
        <bottom/>
      </border>
    </dxf>
    <dxf>
      <font>
        <b val="0"/>
        <i val="0"/>
        <u val="none"/>
        <color indexed="9"/>
      </font>
      <fill>
        <patternFill>
          <bgColor indexed="9"/>
        </patternFill>
      </fill>
      <border>
        <left/>
        <right/>
        <top/>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condense val="0"/>
        <extend val="0"/>
        <color indexed="9"/>
      </font>
      <fill>
        <patternFill>
          <bgColor indexed="9"/>
        </patternFill>
      </fill>
      <border>
        <left/>
        <right/>
        <top/>
        <bottom/>
      </border>
    </dxf>
    <dxf>
      <font>
        <b/>
        <i val="0"/>
        <color indexed="9"/>
      </font>
      <fill>
        <patternFill>
          <bgColor indexed="20"/>
        </patternFill>
      </fill>
    </dxf>
    <dxf>
      <font>
        <color indexed="9"/>
      </font>
      <fill>
        <patternFill>
          <bgColor indexed="9"/>
        </patternFill>
      </fill>
      <border>
        <left/>
        <right/>
        <top/>
        <bottom/>
      </border>
    </dxf>
    <dxf>
      <font>
        <condense val="0"/>
        <extend val="0"/>
        <color indexed="9"/>
      </font>
      <fill>
        <patternFill>
          <bgColor indexed="9"/>
        </patternFill>
      </fill>
      <border>
        <left/>
        <right/>
        <top/>
        <bottom/>
      </border>
    </dxf>
    <dxf>
      <font>
        <b/>
        <i val="0"/>
        <color indexed="9"/>
      </font>
      <fill>
        <patternFill>
          <bgColor indexed="20"/>
        </patternFill>
      </fill>
    </dxf>
    <dxf>
      <font>
        <color indexed="9"/>
      </font>
      <fill>
        <patternFill>
          <bgColor indexed="9"/>
        </patternFill>
      </fill>
      <border>
        <left/>
        <right/>
        <top/>
        <bottom/>
      </border>
    </dxf>
    <dxf>
      <font>
        <color theme="0"/>
      </font>
      <fill>
        <patternFill>
          <bgColor theme="0"/>
        </patternFill>
      </fill>
    </dxf>
    <dxf>
      <font>
        <color theme="0"/>
      </font>
      <fill>
        <patternFill>
          <bgColor theme="0"/>
        </patternFill>
      </fill>
      <border>
        <left/>
        <right/>
        <top/>
        <bottom/>
      </border>
    </dxf>
    <dxf>
      <font>
        <b/>
        <i val="0"/>
        <color theme="0"/>
      </font>
      <fill>
        <patternFill>
          <bgColor rgb="FF800080"/>
        </patternFill>
      </fill>
    </dxf>
    <dxf>
      <font>
        <color theme="0"/>
      </font>
      <fill>
        <patternFill>
          <bgColor theme="0"/>
        </patternFill>
      </fill>
      <border>
        <left/>
        <right/>
        <top/>
        <bottom/>
      </border>
    </dxf>
    <dxf>
      <font>
        <color theme="0"/>
      </font>
      <fill>
        <patternFill>
          <bgColor theme="0"/>
        </patternFill>
      </fill>
      <border>
        <left/>
        <right/>
        <top/>
        <bottom/>
      </border>
    </dxf>
    <dxf>
      <font>
        <color theme="1"/>
      </font>
      <fill>
        <patternFill>
          <bgColor rgb="FFFFFF99"/>
        </patternFill>
      </fill>
    </dxf>
    <dxf>
      <font>
        <color theme="0"/>
      </font>
      <fill>
        <patternFill>
          <bgColor theme="0"/>
        </patternFill>
      </fill>
      <border>
        <left/>
        <right/>
        <top/>
        <bottom/>
      </border>
    </dxf>
    <dxf>
      <font>
        <b/>
        <i val="0"/>
        <color theme="0"/>
      </font>
      <fill>
        <patternFill>
          <bgColor rgb="FF800080"/>
        </patternFill>
      </fill>
    </dxf>
    <dxf>
      <font>
        <b/>
        <i val="0"/>
        <color rgb="FFFFFF00"/>
      </font>
      <fill>
        <patternFill>
          <bgColor rgb="FF0033CC"/>
        </patternFill>
      </fill>
    </dxf>
    <dxf>
      <font>
        <b/>
        <i val="0"/>
        <color rgb="FFFFFF00"/>
      </font>
      <fill>
        <patternFill>
          <bgColor rgb="FF0033CC"/>
        </patternFill>
      </fill>
    </dxf>
    <dxf>
      <font>
        <b/>
        <i val="0"/>
        <condense val="0"/>
        <extend val="0"/>
        <color indexed="9"/>
      </font>
      <fill>
        <patternFill>
          <bgColor indexed="36"/>
        </patternFill>
      </fill>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color rgb="FFFFFFFF"/>
        <name val="Cambria"/>
        <scheme val="none"/>
      </font>
      <fill>
        <patternFill>
          <bgColor rgb="FFFFFFFF"/>
        </patternFill>
      </fill>
    </dxf>
    <dxf>
      <font>
        <color rgb="FFFFFFFF"/>
        <name val="Cambria"/>
        <scheme val="none"/>
      </font>
      <fill>
        <patternFill>
          <bgColor theme="0"/>
        </patternFill>
      </fill>
    </dxf>
    <dxf>
      <font>
        <color theme="0"/>
        <name val="Cambria"/>
        <scheme val="none"/>
      </font>
      <fill>
        <patternFill>
          <bgColor theme="0"/>
        </patternFill>
      </fill>
    </dxf>
    <dxf>
      <font>
        <color theme="0"/>
        <name val="Cambria"/>
        <scheme val="none"/>
      </font>
      <fill>
        <patternFill>
          <bgColor theme="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condense val="0"/>
        <extend val="0"/>
        <color indexed="9"/>
      </font>
      <fill>
        <patternFill>
          <bgColor indexed="9"/>
        </patternFill>
      </fill>
      <border>
        <left/>
        <right/>
        <top/>
        <bottom/>
      </border>
    </dxf>
    <dxf>
      <font>
        <color theme="0"/>
        <name val="Cambria"/>
        <scheme val="none"/>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b/>
        <i val="0"/>
        <color theme="0"/>
      </font>
      <fill>
        <patternFill>
          <bgColor rgb="FFFF0000"/>
        </patternFill>
      </fill>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b val="0"/>
        <i val="0"/>
        <color indexed="9"/>
      </font>
      <fill>
        <patternFill>
          <bgColor indexed="9"/>
        </patternFill>
      </fill>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b val="0"/>
        <i val="0"/>
        <color indexed="9"/>
      </font>
      <fill>
        <patternFill>
          <bgColor indexed="9"/>
        </patternFill>
      </fill>
    </dxf>
    <dxf>
      <font>
        <b/>
        <i val="0"/>
        <condense val="0"/>
        <extend val="0"/>
        <color indexed="9"/>
      </font>
      <fill>
        <patternFill>
          <bgColor indexed="36"/>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b/>
        <i val="0"/>
        <color indexed="9"/>
      </font>
      <fill>
        <patternFill>
          <bgColor indexed="36"/>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lor theme="0"/>
      </font>
      <fill>
        <patternFill>
          <bgColor rgb="FF800080"/>
        </patternFill>
      </fill>
    </dxf>
    <dxf>
      <font>
        <b val="0"/>
        <i val="0"/>
        <color theme="0"/>
      </font>
      <fill>
        <patternFill>
          <bgColor theme="0"/>
        </patternFill>
      </fill>
      <border>
        <left/>
        <right/>
        <top/>
        <bottom/>
      </border>
    </dxf>
    <dxf>
      <font>
        <color theme="0"/>
        <name val="Cambria"/>
        <scheme val="none"/>
      </font>
      <fill>
        <patternFill>
          <bgColor theme="0"/>
        </patternFill>
      </fill>
      <border>
        <left/>
        <right/>
        <top style="thin">
          <color indexed="64"/>
        </top>
        <bottom style="thin">
          <color indexed="64"/>
        </bottom>
      </border>
    </dxf>
    <dxf>
      <font>
        <condense val="0"/>
        <extend val="0"/>
        <color indexed="9"/>
      </font>
      <fill>
        <patternFill>
          <bgColor indexed="9"/>
        </patternFill>
      </fill>
      <border>
        <left/>
        <right/>
        <top/>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b val="0"/>
        <i val="0"/>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b/>
        <i val="0"/>
        <condense val="0"/>
        <extend val="0"/>
        <color indexed="9"/>
      </font>
      <fill>
        <patternFill>
          <bgColor indexed="10"/>
        </patternFill>
      </fill>
      <border>
        <top style="thin">
          <color indexed="64"/>
        </top>
        <bottom style="thin">
          <color indexed="64"/>
        </bottom>
      </border>
    </dxf>
    <dxf>
      <font>
        <color theme="0"/>
        <name val="Cambria"/>
        <scheme val="none"/>
      </font>
      <fill>
        <patternFill>
          <bgColor theme="0"/>
        </patternFill>
      </fill>
      <border>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color theme="0"/>
        <name val="Cambria"/>
        <scheme val="none"/>
      </font>
      <fill>
        <patternFill>
          <bgColor theme="0"/>
        </patternFill>
      </fill>
      <border>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b/>
        <i val="0"/>
        <color theme="0"/>
      </font>
      <fill>
        <patternFill>
          <bgColor rgb="FFFF0000"/>
        </patternFill>
      </fill>
      <border>
        <left/>
        <right style="thin">
          <color indexed="64"/>
        </right>
        <top style="thin">
          <color indexed="64"/>
        </top>
        <bottom style="thin">
          <color indexed="64"/>
        </bottom>
      </border>
    </dxf>
    <dxf>
      <font>
        <color theme="0"/>
        <name val="Cambria"/>
        <scheme val="none"/>
      </font>
      <fill>
        <patternFill>
          <bgColor theme="0"/>
        </patternFill>
      </fill>
      <border>
        <left/>
        <right style="thin">
          <color indexed="64"/>
        </right>
        <top style="thin">
          <color indexed="64"/>
        </top>
        <bottom style="thin">
          <color indexed="64"/>
        </bottom>
      </border>
    </dxf>
    <dxf>
      <font>
        <b/>
        <i val="0"/>
        <color theme="0"/>
      </font>
      <fill>
        <patternFill>
          <bgColor rgb="FFFF0000"/>
        </patternFill>
      </fill>
      <border>
        <top style="thin">
          <color indexed="64"/>
        </top>
        <bottom style="thin">
          <color indexed="64"/>
        </bottom>
      </border>
    </dxf>
    <dxf>
      <font>
        <condense val="0"/>
        <extend val="0"/>
        <color indexed="9"/>
      </font>
      <fill>
        <patternFill>
          <bgColor indexed="9"/>
        </patternFill>
      </fill>
    </dxf>
    <dxf>
      <font>
        <b/>
        <i val="0"/>
        <color indexed="9"/>
      </font>
      <fill>
        <patternFill>
          <bgColor rgb="FF80008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b/>
        <i val="0"/>
        <color indexed="9"/>
      </font>
      <fill>
        <patternFill>
          <bgColor rgb="FF80008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b/>
        <i val="0"/>
        <color indexed="9"/>
      </font>
      <fill>
        <patternFill>
          <bgColor rgb="FF80008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color indexed="9"/>
      </font>
      <fill>
        <patternFill>
          <bgColor indexed="9"/>
        </patternFill>
      </fill>
      <border>
        <left/>
        <right/>
        <top/>
        <bottom/>
      </border>
    </dxf>
    <dxf>
      <font>
        <b/>
        <i val="0"/>
        <color indexed="9"/>
      </font>
      <fill>
        <patternFill>
          <bgColor rgb="FF800080"/>
        </patternFill>
      </fill>
    </dxf>
    <dxf>
      <font>
        <condense val="0"/>
        <extend val="0"/>
        <color indexed="9"/>
      </font>
      <fill>
        <patternFill>
          <bgColor indexed="9"/>
        </patternFill>
      </fill>
    </dxf>
    <dxf>
      <font>
        <color indexed="9"/>
      </font>
      <fill>
        <patternFill>
          <bgColor indexed="9"/>
        </patternFill>
      </fill>
      <border>
        <left/>
        <right/>
        <top/>
        <bottom/>
      </border>
    </dxf>
    <dxf>
      <font>
        <b/>
        <i val="0"/>
        <color indexed="9"/>
      </font>
      <fill>
        <patternFill>
          <bgColor rgb="FF800080"/>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0"/>
      </font>
    </dxf>
    <dxf>
      <font>
        <color theme="0"/>
      </font>
      <fill>
        <patternFill>
          <bgColor theme="0"/>
        </patternFill>
      </fill>
      <border>
        <left/>
        <right/>
        <top/>
        <bottom/>
      </border>
    </dxf>
    <dxf>
      <font>
        <color theme="0"/>
      </font>
      <fill>
        <patternFill>
          <bgColor theme="0"/>
        </patternFill>
      </fill>
      <border>
        <left/>
        <right/>
        <top/>
        <bottom/>
      </border>
    </dxf>
    <dxf>
      <font>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border>
        <left style="thin">
          <color indexed="64"/>
        </left>
        <right style="thin">
          <color indexed="64"/>
        </right>
        <top style="thin">
          <color indexed="64"/>
        </top>
        <bottom style="thin">
          <color indexed="64"/>
        </bottom>
      </border>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border>
        <left style="thin">
          <color indexed="64"/>
        </left>
        <right style="thin">
          <color indexed="64"/>
        </right>
        <top style="thin">
          <color indexed="64"/>
        </top>
        <bottom style="thin">
          <color indexed="64"/>
        </bottom>
      </border>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border>
        <left style="thin">
          <color indexed="64"/>
        </left>
        <right style="thin">
          <color indexed="64"/>
        </right>
        <top style="thin">
          <color indexed="64"/>
        </top>
        <bottom style="thin">
          <color indexed="64"/>
        </bottom>
      </border>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lor indexed="9"/>
      </font>
      <fill>
        <patternFill>
          <bgColor indexed="20"/>
        </patternFill>
      </fill>
      <border>
        <left style="thin">
          <color indexed="64"/>
        </left>
        <right style="thin">
          <color indexed="64"/>
        </right>
        <top style="thin">
          <color indexed="64"/>
        </top>
        <bottom style="thin">
          <color indexed="64"/>
        </bottom>
      </border>
    </dxf>
    <dxf>
      <font>
        <b/>
        <i val="0"/>
        <color indexed="9"/>
      </font>
      <fill>
        <patternFill>
          <bgColor indexed="20"/>
        </patternFill>
      </fill>
    </dxf>
    <dxf>
      <font>
        <b val="0"/>
        <i val="0"/>
        <color indexed="8"/>
      </font>
      <fill>
        <patternFill>
          <bgColor indexed="27"/>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dxf>
    <dxf>
      <font>
        <b val="0"/>
        <i val="0"/>
        <color indexed="8"/>
      </font>
      <fill>
        <patternFill>
          <bgColor indexed="27"/>
        </patternFill>
      </fill>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ndense val="0"/>
        <extend val="0"/>
        <color indexed="9"/>
      </font>
      <fill>
        <patternFill>
          <bgColor rgb="FF80008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b/>
        <i val="0"/>
        <color theme="1"/>
      </font>
      <fill>
        <patternFill>
          <bgColor rgb="FFFF99CC"/>
        </patternFill>
      </fill>
      <border>
        <left style="thin">
          <color indexed="64"/>
        </left>
        <right style="thin">
          <color indexed="64"/>
        </right>
        <top style="thin">
          <color indexed="64"/>
        </top>
        <bottom style="thin">
          <color indexed="64"/>
        </bottom>
      </border>
    </dxf>
    <dxf>
      <font>
        <condense val="0"/>
        <extend val="0"/>
        <color indexed="8"/>
      </font>
      <fill>
        <patternFill>
          <bgColor indexed="9"/>
        </patternFill>
      </fill>
      <border>
        <left/>
        <right/>
        <top/>
        <bottom/>
      </border>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i val="0"/>
        <color theme="0"/>
      </font>
      <fill>
        <patternFill>
          <bgColor rgb="FF800080"/>
        </patternFill>
      </fill>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val="0"/>
        <i val="0"/>
        <color theme="1"/>
      </font>
      <fill>
        <patternFill>
          <bgColor rgb="FFCCFFFF"/>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val="0"/>
        <i val="0"/>
        <color indexed="8"/>
      </font>
      <fill>
        <patternFill>
          <bgColor indexed="27"/>
        </patternFill>
      </fill>
    </dxf>
    <dxf>
      <font>
        <b/>
        <i val="0"/>
        <color theme="0"/>
      </font>
      <fill>
        <patternFill>
          <bgColor rgb="FF800080"/>
        </patternFill>
      </fill>
      <border>
        <left style="thin">
          <color indexed="64"/>
        </left>
        <right style="thin">
          <color indexed="64"/>
        </right>
        <top style="thin">
          <color indexed="64"/>
        </top>
        <bottom style="thin">
          <color indexed="64"/>
        </bottom>
      </border>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b val="0"/>
        <i val="0"/>
        <color indexed="8"/>
      </font>
      <fill>
        <patternFill>
          <bgColor indexed="27"/>
        </patternFill>
      </fill>
      <border>
        <left style="thin">
          <color indexed="64"/>
        </left>
        <right style="thin">
          <color indexed="64"/>
        </right>
        <top style="thin">
          <color indexed="64"/>
        </top>
        <bottom style="thin">
          <color indexed="64"/>
        </bottom>
      </border>
    </dxf>
    <dxf>
      <font>
        <color indexed="9"/>
      </font>
      <fill>
        <patternFill>
          <bgColor indexed="9"/>
        </patternFill>
      </fill>
      <border>
        <left/>
        <right/>
        <top/>
        <bottom/>
      </border>
    </dxf>
    <dxf>
      <font>
        <b/>
        <i val="0"/>
        <condense val="0"/>
        <extend val="0"/>
        <color indexed="9"/>
      </font>
      <fill>
        <patternFill>
          <bgColor rgb="FF800080"/>
        </patternFill>
      </fill>
    </dxf>
    <dxf>
      <font>
        <color theme="0"/>
      </font>
      <fill>
        <patternFill>
          <bgColor theme="0"/>
        </patternFill>
      </fill>
      <border>
        <left/>
        <right/>
        <top/>
        <bottom/>
      </border>
    </dxf>
    <dxf>
      <font>
        <b val="0"/>
        <i val="0"/>
        <condense val="0"/>
        <extend val="0"/>
        <color indexed="9"/>
      </font>
    </dxf>
    <dxf>
      <font>
        <color theme="0"/>
      </font>
      <fill>
        <patternFill>
          <bgColor theme="0"/>
        </patternFill>
      </fill>
      <border>
        <left/>
        <right/>
        <top/>
        <bottom/>
      </border>
    </dxf>
    <dxf>
      <font>
        <color theme="1"/>
      </font>
      <fill>
        <patternFill>
          <bgColor rgb="FFFFFF99"/>
        </patternFill>
      </fill>
    </dxf>
    <dxf>
      <font>
        <color theme="1"/>
      </font>
      <fill>
        <patternFill>
          <bgColor rgb="FFFF99CC"/>
        </patternFill>
      </fill>
      <border>
        <left style="thin">
          <color indexed="64"/>
        </left>
        <right style="thin">
          <color indexed="64"/>
        </right>
        <top style="thin">
          <color indexed="64"/>
        </top>
        <bottom style="thin">
          <color indexed="64"/>
        </bottom>
      </border>
    </dxf>
    <dxf>
      <font>
        <b/>
        <i val="0"/>
        <color theme="1"/>
      </font>
    </dxf>
    <dxf>
      <font>
        <b/>
        <i val="0"/>
        <color indexed="9"/>
        <name val="Cambria"/>
        <scheme val="none"/>
      </font>
      <fill>
        <patternFill>
          <bgColor rgb="FF800080"/>
        </patternFill>
      </fill>
    </dxf>
    <dxf>
      <font>
        <condense val="0"/>
        <extend val="0"/>
        <color indexed="8"/>
      </font>
    </dxf>
    <dxf>
      <font>
        <b val="0"/>
        <i val="0"/>
        <condense val="0"/>
        <extend val="0"/>
        <color indexed="9"/>
      </font>
      <fill>
        <patternFill>
          <bgColor indexed="9"/>
        </patternFill>
      </fill>
      <border>
        <left/>
        <right/>
        <top/>
        <bottom/>
      </border>
    </dxf>
    <dxf>
      <font>
        <color theme="0"/>
      </font>
      <fill>
        <patternFill>
          <bgColor theme="0"/>
        </patternFill>
      </fill>
      <border>
        <left/>
        <right/>
        <top/>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condense val="0"/>
        <extend val="0"/>
        <color indexed="9"/>
      </font>
      <fill>
        <patternFill>
          <bgColor indexed="9"/>
        </patternFill>
      </fill>
    </dxf>
    <dxf>
      <font>
        <color indexed="9"/>
      </font>
      <fill>
        <patternFill>
          <bgColor indexed="9"/>
        </patternFill>
      </fill>
      <border>
        <left/>
        <right/>
        <top/>
        <bottom/>
      </border>
    </dxf>
    <dxf>
      <font>
        <b/>
        <i val="0"/>
        <color theme="0"/>
      </font>
      <fill>
        <patternFill>
          <bgColor rgb="FF800080"/>
        </patternFill>
      </fill>
    </dxf>
    <dxf>
      <font>
        <b/>
        <i val="0"/>
        <color indexed="8"/>
      </font>
      <fill>
        <patternFill>
          <fgColor indexed="9"/>
          <bgColor indexed="43"/>
        </patternFill>
      </fill>
      <border>
        <left style="thin">
          <color indexed="64"/>
        </left>
        <right style="thin">
          <color indexed="64"/>
        </right>
        <top style="thin">
          <color indexed="64"/>
        </top>
        <bottom style="thin">
          <color indexed="64"/>
        </bottom>
      </border>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b/>
        <i val="0"/>
        <color theme="0"/>
      </font>
      <fill>
        <patternFill>
          <bgColor rgb="FF80008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bgColor rgb="FFFF0000"/>
        </patternFill>
      </fill>
    </dxf>
    <dxf>
      <font>
        <b/>
        <i val="0"/>
        <color theme="0"/>
      </font>
      <fill>
        <patternFill>
          <bgColor rgb="FFFF0000"/>
        </patternFill>
      </fill>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dxf>
    <dxf>
      <font>
        <color indexed="13"/>
      </font>
      <fill>
        <patternFill>
          <bgColor rgb="FF0033CC"/>
        </patternFill>
      </fill>
      <border>
        <left style="thin">
          <color indexed="64"/>
        </left>
        <right style="thin">
          <color indexed="64"/>
        </right>
        <top/>
        <bottom style="thin">
          <color indexed="64"/>
        </bottom>
      </border>
    </dxf>
    <dxf>
      <font>
        <color indexed="13"/>
      </font>
      <fill>
        <patternFill>
          <bgColor rgb="FF0033CC"/>
        </patternFill>
      </fill>
      <border>
        <left style="thin">
          <color indexed="64"/>
        </left>
        <right style="thin">
          <color indexed="64"/>
        </right>
        <top style="thin">
          <color indexed="64"/>
        </top>
        <bottom/>
      </border>
    </dxf>
    <dxf>
      <font>
        <b/>
        <i val="0"/>
        <color theme="1"/>
      </font>
      <fill>
        <patternFill>
          <bgColor indexed="45"/>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bgColor theme="0"/>
        </patternFill>
      </fill>
    </dxf>
    <dxf>
      <font>
        <b val="0"/>
        <i val="0"/>
        <color theme="0"/>
      </font>
      <fill>
        <patternFill>
          <bgColor theme="0"/>
        </patternFill>
      </fill>
      <border>
        <left/>
        <right/>
        <top/>
        <bottom/>
      </border>
    </dxf>
    <dxf>
      <font>
        <b val="0"/>
        <i val="0"/>
        <color theme="0"/>
      </font>
      <fill>
        <patternFill>
          <bgColor theme="0"/>
        </patternFill>
      </fill>
      <border>
        <left/>
        <right/>
        <top/>
        <bottom/>
      </border>
    </dxf>
    <dxf>
      <font>
        <color indexed="9"/>
      </font>
      <fill>
        <patternFill>
          <bgColor indexed="9"/>
        </patternFill>
      </fill>
      <border>
        <left/>
        <right/>
        <top/>
        <bottom/>
      </border>
    </dxf>
    <dxf>
      <font>
        <b/>
        <i val="0"/>
        <color theme="0"/>
      </font>
      <fill>
        <patternFill>
          <bgColor rgb="FF800080"/>
        </patternFill>
      </fill>
    </dxf>
    <dxf>
      <font>
        <color indexed="8"/>
      </font>
      <fill>
        <patternFill>
          <bgColor indexed="13"/>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b/>
        <i val="0"/>
        <color indexed="9"/>
      </font>
      <fill>
        <patternFill>
          <bgColor indexed="10"/>
        </patternFill>
      </fill>
    </dxf>
    <dxf>
      <font>
        <b/>
        <i val="0"/>
        <color theme="0"/>
        <name val="Cambria"/>
        <scheme val="none"/>
      </font>
      <fill>
        <patternFill>
          <bgColor rgb="FF800080"/>
        </patternFill>
      </fill>
    </dxf>
    <dxf>
      <font>
        <b/>
        <i val="0"/>
        <color theme="0"/>
        <name val="Cambria"/>
        <scheme val="none"/>
      </font>
      <fill>
        <patternFill>
          <bgColor rgb="FF800080"/>
        </patternFill>
      </fill>
    </dxf>
    <dxf>
      <font>
        <b/>
        <i val="0"/>
        <color theme="0"/>
        <name val="Cambria"/>
        <scheme val="none"/>
      </font>
      <fill>
        <patternFill>
          <bgColor rgb="FF800080"/>
        </patternFill>
      </fill>
    </dxf>
    <dxf>
      <font>
        <b/>
        <i val="0"/>
        <color theme="0"/>
        <name val="Cambria"/>
        <scheme val="none"/>
      </font>
      <fill>
        <patternFill>
          <bgColor rgb="FF800080"/>
        </patternFill>
      </fill>
    </dxf>
    <dxf>
      <font>
        <b/>
        <i val="0"/>
        <color theme="0"/>
      </font>
      <fill>
        <patternFill>
          <bgColor rgb="FF800080"/>
        </patternFill>
      </fill>
    </dxf>
    <dxf>
      <font>
        <b/>
        <i val="0"/>
        <color theme="0"/>
        <name val="Cambria"/>
        <scheme val="none"/>
      </font>
      <fill>
        <patternFill>
          <bgColor rgb="FF800080"/>
        </patternFill>
      </fill>
    </dxf>
    <dxf>
      <font>
        <b/>
        <i val="0"/>
        <color theme="0"/>
        <name val="Cambria"/>
        <scheme val="none"/>
      </font>
      <fill>
        <patternFill>
          <bgColor rgb="FF80008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dxf>
    <dxf>
      <font>
        <color theme="1"/>
      </font>
      <fill>
        <patternFill>
          <bgColor rgb="FFCCFFFF"/>
        </patternFill>
      </fill>
      <border>
        <left style="thin">
          <color indexed="64"/>
        </left>
        <right style="thin">
          <color indexed="64"/>
        </right>
        <top style="thin">
          <color indexed="64"/>
        </top>
        <bottom style="thin">
          <color indexed="64"/>
        </bottom>
      </border>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strike val="0"/>
        <color rgb="FFFFFF00"/>
      </font>
      <fill>
        <patternFill>
          <bgColor rgb="FF0033CC"/>
        </patternFill>
      </fill>
    </dxf>
    <dxf>
      <font>
        <color rgb="FFFFFF00"/>
      </font>
      <fill>
        <patternFill>
          <bgColor rgb="FF0033CC"/>
        </patternFill>
      </fill>
    </dxf>
    <dxf>
      <font>
        <b val="0"/>
        <i val="0"/>
        <u val="none"/>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b val="0"/>
        <i val="0"/>
        <color theme="1"/>
      </font>
      <fill>
        <patternFill>
          <bgColor rgb="FFCCFFFF"/>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b val="0"/>
        <i val="0"/>
        <u val="none"/>
        <color theme="0"/>
      </font>
      <fill>
        <patternFill>
          <bgColor theme="0"/>
        </patternFill>
      </fill>
      <border>
        <left/>
        <right/>
        <top/>
        <bottom/>
      </border>
    </dxf>
    <dxf>
      <font>
        <b/>
        <i val="0"/>
        <color theme="0"/>
      </font>
      <fill>
        <patternFill>
          <bgColor rgb="FFFF0000"/>
        </patternFill>
      </fill>
      <border>
        <bottom/>
      </border>
    </dxf>
    <dxf>
      <font>
        <b val="0"/>
        <i val="0"/>
        <color theme="0"/>
      </font>
      <fill>
        <patternFill>
          <bgColor theme="0"/>
        </patternFill>
      </fill>
      <border>
        <left/>
        <right/>
        <top/>
        <bottom/>
      </border>
    </dxf>
    <dxf>
      <font>
        <b val="0"/>
        <i val="0"/>
        <color indexed="8"/>
      </font>
      <fill>
        <patternFill>
          <bgColor indexed="27"/>
        </patternFill>
      </fill>
    </dxf>
    <dxf>
      <font>
        <condense val="0"/>
        <extend val="0"/>
        <color indexed="9"/>
      </font>
      <fill>
        <patternFill>
          <bgColor indexed="10"/>
        </patternFill>
      </fill>
    </dxf>
    <dxf>
      <font>
        <b val="0"/>
        <i/>
        <color theme="0"/>
      </font>
      <fill>
        <patternFill>
          <bgColor rgb="FFFF0000"/>
        </patternFill>
      </fill>
    </dxf>
    <dxf>
      <fill>
        <patternFill>
          <bgColor rgb="FFFFFF00"/>
        </patternFill>
      </fill>
    </dxf>
    <dxf>
      <font>
        <b val="0"/>
        <i val="0"/>
      </font>
      <fill>
        <patternFill>
          <bgColor rgb="FF99FF99"/>
        </patternFill>
      </fill>
    </dxf>
    <dxf>
      <font>
        <b val="0"/>
        <i/>
        <color theme="0"/>
      </font>
      <fill>
        <patternFill>
          <bgColor rgb="FFFF0000"/>
        </patternFill>
      </fill>
    </dxf>
    <dxf>
      <fill>
        <patternFill>
          <bgColor rgb="FFFFFF00"/>
        </patternFill>
      </fill>
    </dxf>
    <dxf>
      <fill>
        <patternFill>
          <bgColor rgb="FF99FF99"/>
        </patternFill>
      </fill>
    </dxf>
    <dxf>
      <font>
        <b val="0"/>
        <i/>
        <color theme="0"/>
      </font>
      <fill>
        <patternFill>
          <bgColor rgb="FFFF0000"/>
        </patternFill>
      </fill>
    </dxf>
    <dxf>
      <font>
        <color theme="1"/>
      </font>
      <fill>
        <patternFill>
          <bgColor rgb="FFFFFF00"/>
        </patternFill>
      </fill>
    </dxf>
    <dxf>
      <fill>
        <patternFill>
          <bgColor rgb="FF99FF99"/>
        </patternFill>
      </fill>
    </dxf>
    <dxf>
      <font>
        <b val="0"/>
        <i/>
        <color theme="0"/>
      </font>
      <fill>
        <patternFill>
          <bgColor rgb="FFFF0000"/>
        </patternFill>
      </fill>
    </dxf>
    <dxf>
      <fill>
        <patternFill>
          <bgColor rgb="FFFFFF00"/>
        </patternFill>
      </fill>
    </dxf>
    <dxf>
      <fill>
        <patternFill>
          <bgColor rgb="FF99FF99"/>
        </patternFill>
      </fill>
    </dxf>
    <dxf>
      <font>
        <b val="0"/>
        <i/>
        <color theme="0"/>
      </font>
      <fill>
        <patternFill>
          <bgColor rgb="FFFF0000"/>
        </patternFill>
      </fill>
    </dxf>
    <dxf>
      <fill>
        <patternFill>
          <bgColor rgb="FFFFFF00"/>
        </patternFill>
      </fill>
    </dxf>
    <dxf>
      <fill>
        <patternFill>
          <bgColor rgb="FF99FF99"/>
        </patternFill>
      </fill>
    </dxf>
    <dxf>
      <font>
        <b val="0"/>
        <i/>
        <color theme="0"/>
      </font>
      <fill>
        <patternFill>
          <bgColor rgb="FFFF0000"/>
        </patternFill>
      </fill>
    </dxf>
    <dxf>
      <fill>
        <patternFill>
          <bgColor rgb="FFFFFF00"/>
        </patternFill>
      </fill>
    </dxf>
    <dxf>
      <fill>
        <patternFill>
          <bgColor rgb="FF99FF99"/>
        </patternFill>
      </fill>
    </dxf>
    <dxf>
      <font>
        <b val="0"/>
        <i/>
        <color theme="0"/>
      </font>
      <fill>
        <patternFill>
          <bgColor rgb="FFFF0000"/>
        </patternFill>
      </fill>
    </dxf>
    <dxf>
      <fill>
        <patternFill>
          <bgColor rgb="FFFFFF00"/>
        </patternFill>
      </fill>
    </dxf>
    <dxf>
      <fill>
        <patternFill>
          <bgColor rgb="FF99FF99"/>
        </patternFill>
      </fill>
    </dxf>
    <dxf>
      <font>
        <b val="0"/>
        <i val="0"/>
        <color theme="0"/>
        <name val="Cambria"/>
        <scheme val="none"/>
      </font>
    </dxf>
    <dxf>
      <border>
        <left/>
        <right/>
        <top/>
        <bottom/>
      </border>
    </dxf>
    <dxf>
      <font>
        <color theme="0"/>
      </font>
      <fill>
        <patternFill>
          <bgColor theme="0"/>
        </patternFill>
      </fill>
      <border>
        <left/>
        <right/>
        <top/>
        <bottom/>
      </border>
    </dxf>
    <dxf>
      <border>
        <left style="thin">
          <color indexed="64"/>
        </left>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patternType="solid">
          <fgColor indexed="64"/>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color theme="0"/>
      </font>
      <fill>
        <patternFill>
          <bgColor theme="0"/>
        </patternFill>
      </fill>
      <border>
        <left/>
        <right/>
        <top/>
        <bottom/>
      </border>
    </dxf>
    <dxf>
      <font>
        <b val="0"/>
        <i val="0"/>
        <color theme="1"/>
      </font>
      <fill>
        <patternFill>
          <bgColor rgb="FFCCFFFF"/>
        </patternFill>
      </fill>
    </dxf>
    <dxf>
      <font>
        <b val="0"/>
        <i val="0"/>
        <color theme="1"/>
      </font>
      <fill>
        <patternFill>
          <bgColor rgb="FFCCFFFF"/>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theme="0"/>
      </font>
      <fill>
        <patternFill>
          <bgColor theme="0"/>
        </patternFill>
      </fill>
    </dxf>
    <dxf>
      <font>
        <b val="0"/>
        <i val="0"/>
        <color indexed="8"/>
      </font>
      <fill>
        <patternFill>
          <bgColor indexed="27"/>
        </patternFill>
      </fill>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val="0"/>
        <i val="0"/>
        <color theme="1"/>
      </font>
      <fill>
        <patternFill>
          <bgColor rgb="FFCCFFFF"/>
        </patternFill>
      </fill>
    </dxf>
    <dxf>
      <font>
        <b/>
        <i val="0"/>
        <color theme="1"/>
      </font>
      <fill>
        <patternFill>
          <bgColor rgb="FFFF99CC"/>
        </patternFill>
      </fill>
      <border>
        <left style="thin">
          <color indexed="64"/>
        </left>
        <right style="thin">
          <color indexed="64"/>
        </right>
        <top style="thin">
          <color indexed="64"/>
        </top>
        <bottom style="thin">
          <color indexed="64"/>
        </bottom>
      </border>
    </dxf>
    <dxf>
      <font>
        <color rgb="FFFFFF00"/>
      </font>
      <fill>
        <patternFill>
          <fgColor rgb="FF0033CC"/>
          <bgColor rgb="FF0033CC"/>
        </patternFill>
      </fill>
    </dxf>
    <dxf>
      <font>
        <color rgb="FFFFFF00"/>
      </font>
      <fill>
        <patternFill>
          <fgColor rgb="FF0033CC"/>
          <bgColor rgb="FF0033CC"/>
        </patternFill>
      </fill>
    </dxf>
    <dxf>
      <font>
        <b/>
        <i val="0"/>
      </font>
      <fill>
        <patternFill>
          <bgColor indexed="43"/>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color rgb="FFFFFF00"/>
      </font>
      <fill>
        <patternFill>
          <bgColor rgb="FF0033CC"/>
        </patternFill>
      </fill>
    </dxf>
    <dxf>
      <font>
        <b val="0"/>
        <i val="0"/>
        <color theme="0"/>
      </font>
      <fill>
        <patternFill>
          <bgColor theme="0"/>
        </patternFill>
      </fill>
    </dxf>
    <dxf>
      <border>
        <bottom style="thin">
          <color indexed="64"/>
        </bottom>
      </border>
    </dxf>
    <dxf>
      <font>
        <b val="0"/>
        <i val="0"/>
        <color theme="0"/>
      </font>
      <fill>
        <patternFill>
          <bgColor theme="0"/>
        </patternFill>
      </fill>
    </dxf>
    <dxf>
      <border>
        <top style="thin">
          <color indexed="64"/>
        </top>
      </border>
    </dxf>
    <dxf>
      <font>
        <b val="0"/>
        <i val="0"/>
        <color theme="0"/>
      </font>
      <fill>
        <patternFill>
          <bgColor theme="0"/>
        </patternFill>
      </fill>
    </dxf>
    <dxf>
      <border>
        <left style="thin">
          <color indexed="64"/>
        </left>
      </border>
    </dxf>
    <dxf>
      <font>
        <b val="0"/>
        <i val="0"/>
        <color theme="1"/>
      </font>
      <fill>
        <patternFill>
          <bgColor rgb="FFCCFFFF"/>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b val="0"/>
        <i val="0"/>
        <color theme="1"/>
      </font>
      <fill>
        <patternFill>
          <bgColor rgb="FFCCFFFF"/>
        </patternFill>
      </fill>
    </dxf>
    <dxf>
      <font>
        <color theme="0"/>
      </font>
      <fill>
        <patternFill>
          <bgColor theme="0"/>
        </patternFill>
      </fill>
      <border>
        <left/>
        <right/>
        <top/>
        <bottom/>
      </border>
    </dxf>
    <dxf>
      <font>
        <b/>
        <i val="0"/>
        <color theme="0"/>
      </font>
      <fill>
        <patternFill>
          <bgColor rgb="FF800080"/>
        </patternFill>
      </fill>
    </dxf>
    <dxf>
      <font>
        <color indexed="8"/>
      </font>
      <fill>
        <patternFill>
          <bgColor indexed="13"/>
        </patternFill>
      </fill>
    </dxf>
    <dxf>
      <font>
        <color theme="1"/>
      </font>
      <fill>
        <patternFill>
          <bgColor rgb="FFFFFF00"/>
        </patternFill>
      </fill>
    </dxf>
    <dxf>
      <font>
        <b val="0"/>
        <i val="0"/>
        <color theme="1"/>
      </font>
      <fill>
        <patternFill>
          <bgColor rgb="FFCCFFFF"/>
        </patternFill>
      </fill>
    </dxf>
    <dxf>
      <font>
        <b val="0"/>
        <i val="0"/>
        <color theme="1"/>
      </font>
      <fill>
        <patternFill>
          <bgColor rgb="FFCCFFFF"/>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9"/>
      </font>
      <fill>
        <patternFill>
          <bgColor indexed="9"/>
        </patternFill>
      </fill>
      <border>
        <left/>
        <right/>
        <top style="thin">
          <color indexed="64"/>
        </top>
        <bottom style="thin">
          <color indexed="64"/>
        </bottom>
      </border>
    </dxf>
    <dxf>
      <font>
        <b val="0"/>
        <i val="0"/>
        <condense val="0"/>
        <extend val="0"/>
        <color indexed="9"/>
      </font>
      <fill>
        <patternFill>
          <bgColor theme="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ndense val="0"/>
        <extend val="0"/>
        <color indexed="9"/>
      </font>
      <fill>
        <patternFill>
          <bgColor indexed="9"/>
        </patternFill>
      </fill>
    </dxf>
    <dxf>
      <font>
        <b val="0"/>
        <i val="0"/>
        <color theme="1"/>
      </font>
    </dxf>
    <dxf>
      <font>
        <b val="0"/>
        <i val="0"/>
        <color theme="1"/>
      </font>
    </dxf>
    <dxf>
      <font>
        <b val="0"/>
        <i val="0"/>
        <color theme="1"/>
      </font>
    </dxf>
    <dxf>
      <font>
        <b val="0"/>
        <i val="0"/>
        <color theme="1"/>
      </font>
    </dxf>
    <dxf>
      <font>
        <color theme="1"/>
      </font>
    </dxf>
    <dxf>
      <font>
        <b/>
        <i val="0"/>
        <color theme="0"/>
      </font>
      <fill>
        <patternFill>
          <bgColor rgb="FFFF0000"/>
        </patternFill>
      </fill>
    </dxf>
    <dxf>
      <border>
        <left style="thin">
          <color indexed="64"/>
        </left>
      </border>
    </dxf>
    <dxf>
      <border>
        <bottom style="thin">
          <color indexed="64"/>
        </bottom>
      </border>
    </dxf>
    <dxf>
      <font>
        <color theme="1"/>
      </font>
    </dxf>
    <dxf>
      <font>
        <color theme="1"/>
      </font>
    </dxf>
    <dxf>
      <font>
        <color theme="1"/>
      </font>
    </dxf>
    <dxf>
      <font>
        <color theme="1"/>
      </font>
    </dxf>
    <dxf>
      <font>
        <color theme="1"/>
      </font>
    </dxf>
    <dxf>
      <font>
        <color theme="1"/>
      </font>
    </dxf>
    <dxf>
      <font>
        <color theme="1"/>
      </font>
    </dxf>
    <dxf>
      <font>
        <b val="0"/>
        <i val="0"/>
        <color theme="1"/>
      </font>
    </dxf>
    <dxf>
      <font>
        <b val="0"/>
        <i val="0"/>
        <color theme="1"/>
      </font>
      <fill>
        <patternFill patternType="none">
          <bgColor indexed="65"/>
        </patternFill>
      </fill>
    </dxf>
    <dxf>
      <font>
        <b/>
        <i val="0"/>
        <condense val="0"/>
        <extend val="0"/>
        <color indexed="9"/>
      </font>
      <fill>
        <patternFill>
          <bgColor rgb="FF800080"/>
        </patternFill>
      </fill>
    </dxf>
    <dxf>
      <font>
        <b/>
        <i val="0"/>
        <condense val="0"/>
        <extend val="0"/>
        <color indexed="9"/>
      </font>
      <fill>
        <patternFill>
          <bgColor rgb="FF800080"/>
        </patternFill>
      </fill>
    </dxf>
    <dxf>
      <font>
        <b/>
        <i val="0"/>
        <condense val="0"/>
        <extend val="0"/>
        <color indexed="9"/>
      </font>
      <fill>
        <patternFill>
          <bgColor rgb="FF800080"/>
        </patternFill>
      </fill>
    </dxf>
    <dxf>
      <font>
        <b/>
        <i val="0"/>
        <condense val="0"/>
        <extend val="0"/>
        <color indexed="9"/>
      </font>
      <fill>
        <patternFill>
          <bgColor rgb="FF800080"/>
        </patternFill>
      </fill>
    </dxf>
    <dxf>
      <font>
        <b/>
        <i val="0"/>
        <condense val="0"/>
        <extend val="0"/>
        <color indexed="8"/>
      </font>
      <fill>
        <patternFill>
          <bgColor rgb="FFCCFFFF"/>
        </patternFill>
      </fill>
    </dxf>
    <dxf>
      <font>
        <b/>
        <i val="0"/>
        <condense val="0"/>
        <extend val="0"/>
        <color indexed="8"/>
      </font>
      <fill>
        <patternFill>
          <bgColor rgb="FFCCFFFF"/>
        </patternFill>
      </fill>
    </dxf>
    <dxf>
      <font>
        <b/>
        <i val="0"/>
        <condense val="0"/>
        <extend val="0"/>
        <color indexed="8"/>
      </font>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val="0"/>
        <color theme="0"/>
      </font>
      <fill>
        <patternFill>
          <bgColor theme="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indexed="9"/>
      </font>
      <fill>
        <patternFill>
          <bgColor indexed="36"/>
        </patternFill>
      </fill>
    </dxf>
    <dxf>
      <font>
        <b/>
        <i val="0"/>
        <color theme="0"/>
      </font>
      <fill>
        <patternFill>
          <bgColor rgb="FF800080"/>
        </patternFill>
      </fill>
    </dxf>
    <dxf>
      <font>
        <b/>
        <i val="0"/>
        <color indexed="9"/>
      </font>
      <fill>
        <patternFill>
          <bgColor rgb="FF800080"/>
        </patternFill>
      </fill>
      <border>
        <left style="thin">
          <color indexed="64"/>
        </left>
        <right style="thin">
          <color indexed="64"/>
        </right>
        <top style="thin">
          <color indexed="64"/>
        </top>
        <bottom style="thin">
          <color indexed="64"/>
        </bottom>
      </border>
    </dxf>
    <dxf>
      <font>
        <b/>
        <i val="0"/>
        <color theme="0"/>
      </font>
      <fill>
        <patternFill>
          <bgColor rgb="FF80008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800080"/>
        </patternFill>
      </fill>
    </dxf>
    <dxf>
      <font>
        <b/>
        <i val="0"/>
        <color theme="0"/>
        <name val="Cambria"/>
        <scheme val="none"/>
      </font>
      <fill>
        <patternFill>
          <bgColor rgb="FF800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29</xdr:col>
      <xdr:colOff>190500</xdr:colOff>
      <xdr:row>0</xdr:row>
      <xdr:rowOff>0</xdr:rowOff>
    </xdr:from>
    <xdr:to>
      <xdr:col>32</xdr:col>
      <xdr:colOff>200025</xdr:colOff>
      <xdr:row>2</xdr:row>
      <xdr:rowOff>95250</xdr:rowOff>
    </xdr:to>
    <xdr:pic>
      <xdr:nvPicPr>
        <xdr:cNvPr id="15312" name="Picture 2" descr="afgc.JPG">
          <a:extLst>
            <a:ext uri="{FF2B5EF4-FFF2-40B4-BE49-F238E27FC236}">
              <a16:creationId xmlns:a16="http://schemas.microsoft.com/office/drawing/2014/main" id="{00000000-0008-0000-0000-0000D03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0"/>
          <a:ext cx="676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7620</xdr:colOff>
      <xdr:row>2</xdr:row>
      <xdr:rowOff>114300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620" y="5915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a:p>
      </xdr:txBody>
    </xdr:sp>
    <xdr:clientData/>
  </xdr:oneCellAnchor>
  <xdr:oneCellAnchor>
    <xdr:from>
      <xdr:col>0</xdr:col>
      <xdr:colOff>7620</xdr:colOff>
      <xdr:row>2</xdr:row>
      <xdr:rowOff>114300</xdr:rowOff>
    </xdr:from>
    <xdr:ext cx="184731" cy="264560"/>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7620" y="5915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NZ"/>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xdr:row>
          <xdr:rowOff>0</xdr:rowOff>
        </xdr:from>
        <xdr:to>
          <xdr:col>7</xdr:col>
          <xdr:colOff>104775</xdr:colOff>
          <xdr:row>3</xdr:row>
          <xdr:rowOff>495300</xdr:rowOff>
        </xdr:to>
        <xdr:sp macro="" textlink="">
          <xdr:nvSpPr>
            <xdr:cNvPr id="1039" name="Object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9525</xdr:rowOff>
        </xdr:from>
        <xdr:to>
          <xdr:col>32</xdr:col>
          <xdr:colOff>219075</xdr:colOff>
          <xdr:row>97</xdr:row>
          <xdr:rowOff>0</xdr:rowOff>
        </xdr:to>
        <xdr:sp macro="" textlink="">
          <xdr:nvSpPr>
            <xdr:cNvPr id="1044" name="Object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9525</xdr:rowOff>
        </xdr:from>
        <xdr:to>
          <xdr:col>32</xdr:col>
          <xdr:colOff>219075</xdr:colOff>
          <xdr:row>79</xdr:row>
          <xdr:rowOff>0</xdr:rowOff>
        </xdr:to>
        <xdr:sp macro="" textlink="">
          <xdr:nvSpPr>
            <xdr:cNvPr id="15003" name="Object 5787" hidden="1">
              <a:extLst>
                <a:ext uri="{63B3BB69-23CF-44E3-9099-C40C66FF867C}">
                  <a14:compatExt spid="_x0000_s15003"/>
                </a:ext>
                <a:ext uri="{FF2B5EF4-FFF2-40B4-BE49-F238E27FC236}">
                  <a16:creationId xmlns:a16="http://schemas.microsoft.com/office/drawing/2014/main" id="{00000000-0008-0000-0000-00009B3A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211401</xdr:colOff>
      <xdr:row>57</xdr:row>
      <xdr:rowOff>45484</xdr:rowOff>
    </xdr:from>
    <xdr:ext cx="1415396" cy="497872"/>
    <xdr:sp macro="" textlink="">
      <xdr:nvSpPr>
        <xdr:cNvPr id="3" name="TextBox 2">
          <a:extLst>
            <a:ext uri="{FF2B5EF4-FFF2-40B4-BE49-F238E27FC236}">
              <a16:creationId xmlns:a16="http://schemas.microsoft.com/office/drawing/2014/main" id="{00000000-0008-0000-0100-000003000000}"/>
            </a:ext>
          </a:extLst>
        </xdr:cNvPr>
        <xdr:cNvSpPr txBox="1"/>
      </xdr:nvSpPr>
      <xdr:spPr>
        <a:xfrm flipH="1" flipV="1">
          <a:off x="813381" y="9122809"/>
          <a:ext cx="1424994" cy="487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NZ"/>
        </a:p>
      </xdr:txBody>
    </xdr:sp>
    <xdr:clientData/>
  </xdr:oneCellAnchor>
  <xdr:oneCellAnchor>
    <xdr:from>
      <xdr:col>1</xdr:col>
      <xdr:colOff>38100</xdr:colOff>
      <xdr:row>5</xdr:row>
      <xdr:rowOff>142875</xdr:rowOff>
    </xdr:from>
    <xdr:ext cx="5248222" cy="56197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47700" y="1200150"/>
          <a:ext cx="5248275" cy="56197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AU" sz="1100"/>
            <a:t>Insert a </a:t>
          </a:r>
          <a:r>
            <a:rPr lang="en-AU" sz="1100" baseline="0"/>
            <a:t> copy of a certificate either as a graphic image (jpeg) or as a document, or select "INSERT" and "Object" to insert a word or text document.</a:t>
          </a:r>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fgc.org.au/" TargetMode="External"/><Relationship Id="rId7" Type="http://schemas.openxmlformats.org/officeDocument/2006/relationships/vmlDrawing" Target="../drawings/vmlDrawing1.vml"/><Relationship Id="rId12" Type="http://schemas.openxmlformats.org/officeDocument/2006/relationships/oleObject" Target="../embeddings/oleObject3.bin"/><Relationship Id="rId2" Type="http://schemas.openxmlformats.org/officeDocument/2006/relationships/hyperlink" Target="http://www.foodstandards.gov.au/foodstandardscode/" TargetMode="External"/><Relationship Id="rId1" Type="http://schemas.openxmlformats.org/officeDocument/2006/relationships/hyperlink" Target="http://www.allergenbureau.net/vital/" TargetMode="External"/><Relationship Id="rId6" Type="http://schemas.openxmlformats.org/officeDocument/2006/relationships/drawing" Target="../drawings/drawing1.xml"/><Relationship Id="rId11" Type="http://schemas.openxmlformats.org/officeDocument/2006/relationships/image" Target="../media/image2.emf"/><Relationship Id="rId5" Type="http://schemas.openxmlformats.org/officeDocument/2006/relationships/printerSettings" Target="../printerSettings/printerSettings1.bin"/><Relationship Id="rId10" Type="http://schemas.openxmlformats.org/officeDocument/2006/relationships/oleObject" Target="../embeddings/oleObject2.bin"/><Relationship Id="rId4" Type="http://schemas.openxmlformats.org/officeDocument/2006/relationships/hyperlink" Target="http://www.allergenbureau.net/vital/" TargetMode="External"/><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V1120"/>
  <sheetViews>
    <sheetView showGridLines="0" tabSelected="1" topLeftCell="B1" zoomScaleNormal="90" workbookViewId="0">
      <pane ySplit="2" topLeftCell="A3" activePane="bottomLeft" state="frozen"/>
      <selection pane="bottomLeft" activeCell="J6" sqref="J6:R7"/>
    </sheetView>
  </sheetViews>
  <sheetFormatPr defaultRowHeight="5.65" customHeight="1" x14ac:dyDescent="0.2"/>
  <cols>
    <col min="1" max="1" width="4" style="560" hidden="1" customWidth="1"/>
    <col min="2" max="2" width="2.140625" style="333" customWidth="1"/>
    <col min="3" max="3" width="2.5703125" style="1" customWidth="1"/>
    <col min="4" max="4" width="2.7109375" style="1" customWidth="1"/>
    <col min="5" max="6" width="2.85546875" style="1" customWidth="1"/>
    <col min="7" max="7" width="2.7109375" style="1" customWidth="1"/>
    <col min="8" max="11" width="2.85546875" style="1" customWidth="1"/>
    <col min="12" max="12" width="3.140625" style="1" customWidth="1"/>
    <col min="13" max="13" width="2.85546875" style="1" customWidth="1"/>
    <col min="14" max="14" width="3.42578125" style="1" customWidth="1"/>
    <col min="15" max="15" width="2.7109375" style="1" customWidth="1"/>
    <col min="16" max="16" width="3.140625" style="1" customWidth="1"/>
    <col min="17" max="17" width="2.5703125" style="1" customWidth="1"/>
    <col min="18" max="18" width="3.28515625" style="1" customWidth="1"/>
    <col min="19" max="21" width="3" style="1" customWidth="1"/>
    <col min="22" max="22" width="3.28515625" style="1" customWidth="1"/>
    <col min="23" max="23" width="2.85546875" style="1" customWidth="1"/>
    <col min="24" max="24" width="2.7109375" style="1" customWidth="1"/>
    <col min="25" max="25" width="3" style="1" customWidth="1"/>
    <col min="26" max="26" width="2.85546875" style="1" customWidth="1"/>
    <col min="27" max="27" width="3.28515625" style="1" customWidth="1"/>
    <col min="28" max="28" width="3" style="1" customWidth="1"/>
    <col min="29" max="29" width="3.28515625" style="1" customWidth="1"/>
    <col min="30" max="30" width="3" style="1" customWidth="1"/>
    <col min="31" max="31" width="3.42578125" style="1" customWidth="1"/>
    <col min="32" max="32" width="3.5703125" style="1" customWidth="1"/>
    <col min="33" max="33" width="3.42578125" style="1" customWidth="1"/>
    <col min="34" max="34" width="2.85546875" style="229" customWidth="1"/>
    <col min="35" max="35" width="7.28515625" style="341" customWidth="1"/>
    <col min="36" max="36" width="8.28515625" style="556" customWidth="1"/>
    <col min="37" max="37" width="7.7109375" style="341" hidden="1" customWidth="1"/>
    <col min="38" max="38" width="8.7109375" style="341" hidden="1" customWidth="1"/>
    <col min="39" max="39" width="8.28515625" style="370" hidden="1" customWidth="1"/>
    <col min="40" max="40" width="8.5703125" style="370" hidden="1" customWidth="1"/>
    <col min="41" max="44" width="8.140625" style="370" hidden="1" customWidth="1"/>
    <col min="45" max="45" width="13.28515625" style="370" hidden="1" customWidth="1"/>
    <col min="46" max="46" width="5" style="370" hidden="1" customWidth="1"/>
    <col min="47" max="47" width="7.42578125" style="370" hidden="1" customWidth="1"/>
    <col min="48" max="48" width="7.140625" style="370" hidden="1" customWidth="1"/>
    <col min="49" max="49" width="7.42578125" style="370" hidden="1" customWidth="1"/>
    <col min="50" max="50" width="15.5703125" style="370" hidden="1" customWidth="1"/>
    <col min="51" max="51" width="5.42578125" style="370" hidden="1" customWidth="1"/>
    <col min="52" max="53" width="5.28515625" style="370" hidden="1" customWidth="1"/>
    <col min="54" max="55" width="3.7109375" style="370" hidden="1" customWidth="1"/>
    <col min="56" max="58" width="9.140625" style="370" hidden="1" customWidth="1"/>
    <col min="59" max="59" width="9.5703125" style="370" hidden="1" customWidth="1"/>
    <col min="60" max="60" width="9.140625" style="370" hidden="1" customWidth="1"/>
    <col min="61" max="61" width="14.42578125" style="370" hidden="1" customWidth="1"/>
    <col min="62" max="62" width="29.28515625" style="370" hidden="1" customWidth="1"/>
    <col min="63" max="67" width="4.140625" style="370" hidden="1" customWidth="1"/>
    <col min="68" max="68" width="9.7109375" style="370" customWidth="1"/>
    <col min="69" max="69" width="10.5703125" style="1" customWidth="1"/>
    <col min="70" max="74" width="9.140625" style="1"/>
    <col min="75" max="75" width="10.42578125" style="1" customWidth="1"/>
    <col min="76" max="16384" width="9.140625" style="1"/>
  </cols>
  <sheetData>
    <row r="1" spans="1:256" ht="21.75" customHeight="1" x14ac:dyDescent="0.25">
      <c r="F1" s="854" t="s">
        <v>692</v>
      </c>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4"/>
      <c r="AH1" s="222"/>
      <c r="AI1" s="374"/>
      <c r="BP1" s="895" t="s">
        <v>171</v>
      </c>
      <c r="BQ1" s="896"/>
      <c r="BR1" s="896"/>
      <c r="BS1" s="896"/>
      <c r="BT1" s="896"/>
      <c r="BU1" s="896"/>
      <c r="BV1" s="897"/>
    </row>
    <row r="2" spans="1:256" ht="15.75" customHeight="1" x14ac:dyDescent="0.25">
      <c r="F2" s="3"/>
      <c r="G2" s="855" t="s">
        <v>1115</v>
      </c>
      <c r="H2" s="855"/>
      <c r="I2" s="855"/>
      <c r="J2" s="855"/>
      <c r="K2" s="855"/>
      <c r="L2" s="855"/>
      <c r="M2" s="855"/>
      <c r="N2" s="855"/>
      <c r="O2" s="855"/>
      <c r="P2" s="855"/>
      <c r="Q2" s="855"/>
      <c r="R2" s="855"/>
      <c r="S2" s="855"/>
      <c r="T2" s="855"/>
      <c r="U2" s="855"/>
      <c r="V2" s="855"/>
      <c r="W2" s="855"/>
      <c r="X2" s="855"/>
      <c r="Y2" s="855"/>
      <c r="Z2" s="855"/>
      <c r="AA2" s="855"/>
      <c r="AB2" s="855"/>
      <c r="AC2" s="3"/>
      <c r="AD2" s="3"/>
      <c r="AE2" s="3"/>
      <c r="AF2" s="6"/>
      <c r="AG2" s="4"/>
      <c r="AH2" s="222"/>
      <c r="BP2" s="898" t="s">
        <v>162</v>
      </c>
      <c r="BQ2" s="899"/>
      <c r="BR2" s="899"/>
      <c r="BS2" s="899"/>
      <c r="BT2" s="899"/>
      <c r="BU2" s="899"/>
      <c r="BV2" s="900"/>
    </row>
    <row r="3" spans="1:256" ht="28.5" customHeight="1" x14ac:dyDescent="0.2">
      <c r="C3" s="857"/>
      <c r="D3" s="858"/>
      <c r="E3" s="858"/>
      <c r="F3" s="858"/>
      <c r="G3" s="859"/>
      <c r="H3" s="317"/>
      <c r="I3" s="856" t="s">
        <v>1111</v>
      </c>
      <c r="J3" s="856"/>
      <c r="K3" s="856"/>
      <c r="L3" s="856"/>
      <c r="M3" s="856"/>
      <c r="N3" s="856"/>
      <c r="O3" s="856"/>
      <c r="P3" s="856"/>
      <c r="Q3" s="856"/>
      <c r="R3" s="856"/>
      <c r="S3" s="856"/>
      <c r="T3" s="856"/>
      <c r="U3" s="856"/>
      <c r="V3" s="856"/>
      <c r="W3" s="856"/>
      <c r="X3" s="856"/>
      <c r="Y3" s="856"/>
      <c r="Z3" s="856"/>
      <c r="AA3" s="856"/>
      <c r="AB3" s="856"/>
      <c r="AC3" s="856"/>
      <c r="AD3" s="856"/>
      <c r="AE3" s="412"/>
      <c r="AF3" s="7"/>
      <c r="AG3" s="4"/>
      <c r="AH3" s="253" t="s">
        <v>694</v>
      </c>
      <c r="AI3" s="556"/>
      <c r="AK3" s="556"/>
      <c r="AL3" s="556"/>
    </row>
    <row r="4" spans="1:256" ht="39.75" customHeight="1" x14ac:dyDescent="0.2">
      <c r="C4" s="860"/>
      <c r="D4" s="861"/>
      <c r="E4" s="861"/>
      <c r="F4" s="861"/>
      <c r="G4" s="862"/>
      <c r="H4" s="317"/>
      <c r="I4" s="856" t="s">
        <v>265</v>
      </c>
      <c r="J4" s="856"/>
      <c r="K4" s="856"/>
      <c r="L4" s="856"/>
      <c r="M4" s="856"/>
      <c r="N4" s="856"/>
      <c r="O4" s="856"/>
      <c r="P4" s="856"/>
      <c r="Q4" s="856"/>
      <c r="R4" s="856"/>
      <c r="S4" s="856"/>
      <c r="T4" s="856"/>
      <c r="U4" s="856"/>
      <c r="V4" s="856"/>
      <c r="W4" s="856"/>
      <c r="X4" s="856"/>
      <c r="Y4" s="856"/>
      <c r="Z4" s="856"/>
      <c r="AA4" s="856"/>
      <c r="AB4" s="856"/>
      <c r="AC4" s="856"/>
      <c r="AD4" s="412"/>
      <c r="AE4" s="412"/>
      <c r="AF4" s="7"/>
      <c r="AG4" s="4"/>
      <c r="AH4" s="222"/>
      <c r="AI4" s="556"/>
      <c r="AK4" s="556"/>
      <c r="AL4" s="556"/>
    </row>
    <row r="5" spans="1:256" ht="17.25" customHeight="1" x14ac:dyDescent="0.25">
      <c r="B5" s="334"/>
      <c r="C5" s="901" t="s">
        <v>524</v>
      </c>
      <c r="D5" s="901"/>
      <c r="E5" s="901"/>
      <c r="F5" s="901"/>
      <c r="G5" s="901"/>
      <c r="H5" s="901"/>
      <c r="I5" s="901"/>
      <c r="J5" s="901"/>
      <c r="K5" s="901"/>
      <c r="L5" s="901"/>
      <c r="M5" s="901"/>
      <c r="N5" s="901"/>
      <c r="O5" s="901"/>
      <c r="P5" s="901"/>
      <c r="Q5" s="901"/>
      <c r="R5" s="901"/>
      <c r="S5" s="901"/>
      <c r="T5" s="901"/>
      <c r="U5" s="901"/>
      <c r="V5" s="901"/>
      <c r="W5" s="901"/>
      <c r="X5" s="901"/>
      <c r="Y5" s="901"/>
      <c r="Z5" s="901"/>
      <c r="AA5" s="901"/>
      <c r="AB5" s="901"/>
      <c r="AC5" s="901"/>
      <c r="AD5" s="901"/>
      <c r="AE5" s="901"/>
      <c r="AF5" s="901"/>
      <c r="AG5" s="550"/>
      <c r="AH5" s="222"/>
      <c r="AI5" s="556"/>
      <c r="AK5" s="556"/>
      <c r="AL5" s="556"/>
    </row>
    <row r="6" spans="1:256" ht="14.25" customHeight="1" x14ac:dyDescent="0.2">
      <c r="C6" s="645" t="s">
        <v>470</v>
      </c>
      <c r="D6" s="646"/>
      <c r="E6" s="646"/>
      <c r="F6" s="646"/>
      <c r="G6" s="646"/>
      <c r="H6" s="646"/>
      <c r="I6" s="647"/>
      <c r="J6" s="888"/>
      <c r="K6" s="889"/>
      <c r="L6" s="889"/>
      <c r="M6" s="889"/>
      <c r="N6" s="889"/>
      <c r="O6" s="889"/>
      <c r="P6" s="889"/>
      <c r="Q6" s="889"/>
      <c r="R6" s="890"/>
      <c r="S6" s="645" t="s">
        <v>1075</v>
      </c>
      <c r="T6" s="646"/>
      <c r="U6" s="646"/>
      <c r="V6" s="646"/>
      <c r="W6" s="646"/>
      <c r="X6" s="646"/>
      <c r="Y6" s="884"/>
      <c r="Z6" s="863"/>
      <c r="AA6" s="864"/>
      <c r="AB6" s="864"/>
      <c r="AC6" s="864"/>
      <c r="AD6" s="864"/>
      <c r="AE6" s="864"/>
      <c r="AF6" s="864"/>
      <c r="AG6" s="865"/>
      <c r="AH6" s="222"/>
      <c r="AI6" s="588"/>
      <c r="AJ6" s="556">
        <f>IF(COUNTA(J6,J8,J10)=3,1,0)</f>
        <v>0</v>
      </c>
      <c r="AK6" s="556">
        <f>IF(AF125="X", IF(AJ6=0,1,2),0)</f>
        <v>0</v>
      </c>
      <c r="AL6" s="556"/>
    </row>
    <row r="7" spans="1:256" ht="14.25" customHeight="1" x14ac:dyDescent="0.2">
      <c r="C7" s="651"/>
      <c r="D7" s="652"/>
      <c r="E7" s="652"/>
      <c r="F7" s="652"/>
      <c r="G7" s="652"/>
      <c r="H7" s="652"/>
      <c r="I7" s="653"/>
      <c r="J7" s="891"/>
      <c r="K7" s="892"/>
      <c r="L7" s="892"/>
      <c r="M7" s="892"/>
      <c r="N7" s="892"/>
      <c r="O7" s="892"/>
      <c r="P7" s="892"/>
      <c r="Q7" s="892"/>
      <c r="R7" s="893"/>
      <c r="S7" s="651"/>
      <c r="T7" s="652"/>
      <c r="U7" s="652"/>
      <c r="V7" s="652"/>
      <c r="W7" s="652"/>
      <c r="X7" s="652"/>
      <c r="Y7" s="885"/>
      <c r="Z7" s="863"/>
      <c r="AA7" s="864"/>
      <c r="AB7" s="864"/>
      <c r="AC7" s="864"/>
      <c r="AD7" s="864"/>
      <c r="AE7" s="864"/>
      <c r="AF7" s="864"/>
      <c r="AG7" s="882"/>
      <c r="AH7" s="222"/>
      <c r="AI7" s="588"/>
      <c r="AK7" s="556"/>
      <c r="AL7" s="556"/>
    </row>
    <row r="8" spans="1:256" ht="14.25" customHeight="1" x14ac:dyDescent="0.2">
      <c r="C8" s="645" t="s">
        <v>703</v>
      </c>
      <c r="D8" s="646"/>
      <c r="E8" s="646"/>
      <c r="F8" s="646"/>
      <c r="G8" s="646"/>
      <c r="H8" s="646"/>
      <c r="I8" s="647"/>
      <c r="J8" s="838"/>
      <c r="K8" s="839"/>
      <c r="L8" s="839"/>
      <c r="M8" s="839"/>
      <c r="N8" s="839"/>
      <c r="O8" s="839"/>
      <c r="P8" s="839"/>
      <c r="Q8" s="839"/>
      <c r="R8" s="840"/>
      <c r="S8" s="645" t="s">
        <v>1076</v>
      </c>
      <c r="T8" s="646"/>
      <c r="U8" s="646"/>
      <c r="V8" s="646"/>
      <c r="W8" s="646"/>
      <c r="X8" s="646"/>
      <c r="Y8" s="646"/>
      <c r="Z8" s="863"/>
      <c r="AA8" s="864"/>
      <c r="AB8" s="864"/>
      <c r="AC8" s="864"/>
      <c r="AD8" s="864"/>
      <c r="AE8" s="864"/>
      <c r="AF8" s="864"/>
      <c r="AG8" s="882"/>
      <c r="AH8" s="223"/>
      <c r="AI8" s="556"/>
      <c r="AK8" s="556"/>
      <c r="AL8" s="556"/>
    </row>
    <row r="9" spans="1:256" ht="14.25" customHeight="1" x14ac:dyDescent="0.2">
      <c r="C9" s="651"/>
      <c r="D9" s="652"/>
      <c r="E9" s="652"/>
      <c r="F9" s="652"/>
      <c r="G9" s="652"/>
      <c r="H9" s="652"/>
      <c r="I9" s="653"/>
      <c r="J9" s="841"/>
      <c r="K9" s="842"/>
      <c r="L9" s="842"/>
      <c r="M9" s="842"/>
      <c r="N9" s="842"/>
      <c r="O9" s="842"/>
      <c r="P9" s="842"/>
      <c r="Q9" s="842"/>
      <c r="R9" s="843"/>
      <c r="S9" s="651"/>
      <c r="T9" s="652"/>
      <c r="U9" s="652"/>
      <c r="V9" s="652"/>
      <c r="W9" s="652"/>
      <c r="X9" s="652"/>
      <c r="Y9" s="652"/>
      <c r="Z9" s="863"/>
      <c r="AA9" s="864"/>
      <c r="AB9" s="864"/>
      <c r="AC9" s="864"/>
      <c r="AD9" s="864"/>
      <c r="AE9" s="864"/>
      <c r="AF9" s="864"/>
      <c r="AG9" s="882"/>
      <c r="AH9" s="223"/>
      <c r="AI9" s="556"/>
      <c r="AK9" s="556"/>
      <c r="AL9" s="556"/>
    </row>
    <row r="10" spans="1:256" ht="25.5" customHeight="1" x14ac:dyDescent="0.2">
      <c r="C10" s="849" t="s">
        <v>469</v>
      </c>
      <c r="D10" s="850"/>
      <c r="E10" s="850"/>
      <c r="F10" s="850"/>
      <c r="G10" s="850"/>
      <c r="H10" s="850"/>
      <c r="I10" s="851"/>
      <c r="J10" s="844"/>
      <c r="K10" s="845"/>
      <c r="L10" s="845"/>
      <c r="M10" s="845"/>
      <c r="N10" s="845"/>
      <c r="O10" s="845"/>
      <c r="P10" s="845"/>
      <c r="Q10" s="845"/>
      <c r="R10" s="846"/>
      <c r="S10" s="1295" t="s">
        <v>1077</v>
      </c>
      <c r="T10" s="1296"/>
      <c r="U10" s="1296"/>
      <c r="V10" s="1296"/>
      <c r="W10" s="1296"/>
      <c r="X10" s="1296"/>
      <c r="Y10" s="1297"/>
      <c r="Z10" s="1292"/>
      <c r="AA10" s="1293"/>
      <c r="AB10" s="1293"/>
      <c r="AC10" s="1293"/>
      <c r="AD10" s="1293"/>
      <c r="AE10" s="1293"/>
      <c r="AF10" s="1293"/>
      <c r="AG10" s="1294"/>
      <c r="AH10" s="223"/>
      <c r="AI10" s="589"/>
      <c r="AK10" s="556"/>
      <c r="AL10" s="556"/>
    </row>
    <row r="11" spans="1:256" ht="15.75" customHeight="1" x14ac:dyDescent="0.2">
      <c r="C11" s="126" t="s">
        <v>708</v>
      </c>
      <c r="D11" s="126"/>
      <c r="E11" s="126"/>
      <c r="F11" s="126"/>
      <c r="G11" s="126"/>
      <c r="H11" s="126"/>
      <c r="I11" s="126"/>
      <c r="J11" s="126"/>
      <c r="K11" s="126"/>
      <c r="L11" s="126"/>
      <c r="M11" s="126"/>
      <c r="N11" s="126"/>
      <c r="O11" s="126"/>
      <c r="P11" s="126"/>
      <c r="Q11" s="126"/>
      <c r="R11" s="126"/>
      <c r="AH11" s="222"/>
      <c r="AI11" s="556"/>
      <c r="AK11" s="556"/>
      <c r="AL11" s="556"/>
    </row>
    <row r="12" spans="1:256" ht="16.5" customHeight="1" x14ac:dyDescent="0.2">
      <c r="C12" s="1301" t="s">
        <v>710</v>
      </c>
      <c r="D12" s="1301"/>
      <c r="E12" s="1301"/>
      <c r="F12" s="1301"/>
      <c r="G12" s="1301"/>
      <c r="H12" s="1301"/>
      <c r="I12" s="1301"/>
      <c r="J12" s="1301"/>
      <c r="K12" s="1301"/>
      <c r="L12" s="1301"/>
      <c r="M12" s="1301"/>
      <c r="N12" s="1302"/>
      <c r="O12" s="787"/>
      <c r="P12" s="788"/>
      <c r="Q12" s="788"/>
      <c r="R12" s="788"/>
      <c r="S12" s="788"/>
      <c r="T12" s="788"/>
      <c r="U12" s="788"/>
      <c r="V12" s="788"/>
      <c r="W12" s="788"/>
      <c r="X12" s="788"/>
      <c r="Y12" s="788"/>
      <c r="Z12" s="788"/>
      <c r="AA12" s="788"/>
      <c r="AB12" s="788"/>
      <c r="AC12" s="788"/>
      <c r="AD12" s="788"/>
      <c r="AE12" s="788"/>
      <c r="AF12" s="788"/>
      <c r="AG12" s="789"/>
      <c r="AH12" s="222"/>
      <c r="AI12" s="556"/>
      <c r="AJ12" s="557">
        <f>IF(COUNTA(O12:O14)+COUNTA(O16:O17)+COUNTA(O22:O25)+COUNTA(R16,Z16,W17,O27,AA27)&gt;12,1,0)</f>
        <v>0</v>
      </c>
      <c r="AK12" s="556">
        <f>IF(AF125="X", IF(AJ12=0,1,2),0)</f>
        <v>0</v>
      </c>
      <c r="AL12" s="556"/>
    </row>
    <row r="13" spans="1:256" ht="16.5" customHeight="1" x14ac:dyDescent="0.2">
      <c r="C13" s="1301" t="s">
        <v>153</v>
      </c>
      <c r="D13" s="1301"/>
      <c r="E13" s="1301"/>
      <c r="F13" s="1301"/>
      <c r="G13" s="1301"/>
      <c r="H13" s="1301"/>
      <c r="I13" s="1301"/>
      <c r="J13" s="1301"/>
      <c r="K13" s="1301"/>
      <c r="L13" s="1301"/>
      <c r="M13" s="1301"/>
      <c r="N13" s="1302"/>
      <c r="O13" s="787"/>
      <c r="P13" s="788"/>
      <c r="Q13" s="788"/>
      <c r="R13" s="788"/>
      <c r="S13" s="788"/>
      <c r="T13" s="788"/>
      <c r="U13" s="788"/>
      <c r="V13" s="788"/>
      <c r="W13" s="788"/>
      <c r="X13" s="788"/>
      <c r="Y13" s="788"/>
      <c r="Z13" s="788"/>
      <c r="AA13" s="788"/>
      <c r="AB13" s="788"/>
      <c r="AC13" s="788"/>
      <c r="AD13" s="788"/>
      <c r="AE13" s="788"/>
      <c r="AF13" s="788"/>
      <c r="AG13" s="789"/>
      <c r="AH13" s="222"/>
      <c r="AI13" s="556"/>
      <c r="AJ13" s="590"/>
      <c r="AK13" s="556"/>
      <c r="AL13" s="556"/>
    </row>
    <row r="14" spans="1:256" ht="16.5" customHeight="1" x14ac:dyDescent="0.2">
      <c r="C14" s="1303" t="s">
        <v>1065</v>
      </c>
      <c r="D14" s="1303"/>
      <c r="E14" s="1303"/>
      <c r="F14" s="1303"/>
      <c r="G14" s="31"/>
      <c r="H14" s="31"/>
      <c r="I14" s="31"/>
      <c r="J14" s="31"/>
      <c r="K14" s="31"/>
      <c r="L14" s="31"/>
      <c r="M14" s="31"/>
      <c r="N14" s="380" t="s">
        <v>713</v>
      </c>
      <c r="O14" s="787"/>
      <c r="P14" s="788"/>
      <c r="Q14" s="788"/>
      <c r="R14" s="788"/>
      <c r="S14" s="788"/>
      <c r="T14" s="788"/>
      <c r="U14" s="788"/>
      <c r="V14" s="788"/>
      <c r="W14" s="788"/>
      <c r="X14" s="788"/>
      <c r="Y14" s="788"/>
      <c r="Z14" s="788"/>
      <c r="AA14" s="788"/>
      <c r="AB14" s="788"/>
      <c r="AC14" s="788"/>
      <c r="AD14" s="788"/>
      <c r="AE14" s="788"/>
      <c r="AF14" s="788"/>
      <c r="AG14" s="789"/>
      <c r="AH14" s="222"/>
      <c r="AI14" s="556"/>
      <c r="AJ14" s="557"/>
      <c r="AK14" s="556"/>
      <c r="AL14" s="556"/>
    </row>
    <row r="15" spans="1:256" ht="3" customHeight="1" x14ac:dyDescent="0.2">
      <c r="A15" s="555"/>
      <c r="B15" s="335"/>
      <c r="C15" s="1303"/>
      <c r="D15" s="1303"/>
      <c r="E15" s="1303"/>
      <c r="F15" s="1303"/>
      <c r="G15" s="15"/>
      <c r="H15" s="15"/>
      <c r="I15" s="15"/>
      <c r="J15" s="66"/>
      <c r="K15" s="66"/>
      <c r="L15" s="66"/>
      <c r="M15" s="66"/>
      <c r="N15" s="67"/>
      <c r="O15" s="66"/>
      <c r="P15" s="66"/>
      <c r="Q15" s="66"/>
      <c r="R15" s="66"/>
      <c r="S15" s="66"/>
      <c r="T15" s="66"/>
      <c r="U15" s="66"/>
      <c r="V15" s="66"/>
      <c r="W15" s="66"/>
      <c r="X15" s="66"/>
      <c r="Y15" s="66"/>
      <c r="Z15" s="66"/>
      <c r="AA15" s="66"/>
      <c r="AB15" s="66"/>
      <c r="AC15" s="66"/>
      <c r="AD15" s="66"/>
      <c r="AE15" s="66"/>
      <c r="AF15" s="66"/>
      <c r="AG15" s="66"/>
      <c r="AH15" s="76"/>
      <c r="AI15" s="556"/>
      <c r="AJ15" s="557"/>
      <c r="AK15" s="558"/>
      <c r="AL15" s="558"/>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6"/>
      <c r="FG15" s="66"/>
      <c r="FH15" s="66"/>
      <c r="FI15" s="66"/>
      <c r="FJ15" s="66"/>
      <c r="FK15" s="66"/>
      <c r="FL15" s="66"/>
      <c r="FM15" s="66"/>
      <c r="FN15" s="66"/>
      <c r="FO15" s="66"/>
      <c r="FP15" s="66"/>
      <c r="FQ15" s="66"/>
      <c r="FR15" s="66"/>
      <c r="FS15" s="66"/>
      <c r="FT15" s="66"/>
      <c r="FU15" s="66"/>
      <c r="FV15" s="66"/>
      <c r="FW15" s="66"/>
      <c r="FX15" s="66"/>
      <c r="FY15" s="66"/>
      <c r="FZ15" s="66"/>
      <c r="GA15" s="66"/>
      <c r="GB15" s="66"/>
      <c r="GC15" s="66"/>
      <c r="GD15" s="66"/>
      <c r="GE15" s="66"/>
      <c r="GF15" s="66"/>
      <c r="GG15" s="66"/>
      <c r="GH15" s="66"/>
      <c r="GI15" s="66"/>
      <c r="GJ15" s="66"/>
      <c r="GK15" s="66"/>
      <c r="GL15" s="66"/>
      <c r="GM15" s="66"/>
      <c r="GN15" s="66"/>
      <c r="GO15" s="66"/>
      <c r="GP15" s="66"/>
      <c r="GQ15" s="66"/>
      <c r="GR15" s="66"/>
      <c r="GS15" s="66"/>
      <c r="GT15" s="66"/>
      <c r="GU15" s="66"/>
      <c r="GV15" s="66"/>
      <c r="GW15" s="66"/>
      <c r="GX15" s="66"/>
      <c r="GY15" s="66"/>
      <c r="GZ15" s="66"/>
      <c r="HA15" s="66"/>
      <c r="HB15" s="66"/>
      <c r="HC15" s="66"/>
      <c r="HD15" s="66"/>
      <c r="HE15" s="66"/>
      <c r="HF15" s="66"/>
      <c r="HG15" s="66"/>
      <c r="HH15" s="66"/>
      <c r="HI15" s="66"/>
      <c r="HJ15" s="66"/>
      <c r="HK15" s="66"/>
      <c r="HL15" s="66"/>
      <c r="HM15" s="66"/>
      <c r="HN15" s="66"/>
      <c r="HO15" s="66"/>
      <c r="HP15" s="66"/>
      <c r="HQ15" s="66"/>
      <c r="HR15" s="66"/>
      <c r="HS15" s="66"/>
      <c r="HT15" s="66"/>
      <c r="HU15" s="66"/>
      <c r="HV15" s="66"/>
      <c r="HW15" s="66"/>
      <c r="HX15" s="66"/>
      <c r="HY15" s="66"/>
      <c r="HZ15" s="66"/>
      <c r="IA15" s="66"/>
      <c r="IB15" s="66"/>
      <c r="IC15" s="66"/>
      <c r="ID15" s="66"/>
      <c r="IE15" s="66"/>
      <c r="IF15" s="66"/>
      <c r="IG15" s="66"/>
      <c r="IH15" s="66"/>
      <c r="II15" s="66"/>
      <c r="IJ15" s="66"/>
      <c r="IK15" s="66"/>
      <c r="IL15" s="66"/>
      <c r="IM15" s="66"/>
      <c r="IN15" s="66"/>
      <c r="IO15" s="66"/>
      <c r="IP15" s="66"/>
      <c r="IQ15" s="66"/>
      <c r="IR15" s="66"/>
      <c r="IS15" s="66"/>
      <c r="IT15" s="66"/>
      <c r="IU15" s="66"/>
      <c r="IV15" s="66"/>
    </row>
    <row r="16" spans="1:256" ht="17.25" customHeight="1" x14ac:dyDescent="0.2">
      <c r="C16" s="1303"/>
      <c r="D16" s="1303"/>
      <c r="E16" s="1303"/>
      <c r="F16" s="1303"/>
      <c r="G16" s="171"/>
      <c r="H16" s="172"/>
      <c r="I16" s="172"/>
      <c r="J16" s="172"/>
      <c r="K16" s="172"/>
      <c r="L16" s="172"/>
      <c r="M16" s="172"/>
      <c r="N16" s="178" t="s">
        <v>1001</v>
      </c>
      <c r="O16" s="808"/>
      <c r="P16" s="809"/>
      <c r="Q16" s="810"/>
      <c r="R16" s="1298"/>
      <c r="S16" s="1299"/>
      <c r="T16" s="1299"/>
      <c r="U16" s="1299"/>
      <c r="V16" s="1299"/>
      <c r="W16" s="1299"/>
      <c r="X16" s="1299"/>
      <c r="Y16" s="1300"/>
      <c r="Z16" s="1298"/>
      <c r="AA16" s="1299"/>
      <c r="AB16" s="1299"/>
      <c r="AC16" s="1299"/>
      <c r="AD16" s="1299"/>
      <c r="AE16" s="1299"/>
      <c r="AF16" s="1299"/>
      <c r="AG16" s="1300"/>
      <c r="AH16" s="223"/>
      <c r="AI16" s="558"/>
      <c r="AJ16" s="557"/>
      <c r="AK16" s="556"/>
      <c r="AL16" s="556"/>
    </row>
    <row r="17" spans="1:256" ht="17.25" customHeight="1" x14ac:dyDescent="0.2">
      <c r="C17" s="379"/>
      <c r="D17" s="379"/>
      <c r="E17" s="379"/>
      <c r="F17" s="379"/>
      <c r="G17" s="170"/>
      <c r="H17" s="170"/>
      <c r="I17" s="170"/>
      <c r="J17" s="170"/>
      <c r="K17" s="170"/>
      <c r="L17" s="170"/>
      <c r="M17" s="170"/>
      <c r="N17" s="179" t="s">
        <v>502</v>
      </c>
      <c r="O17" s="787"/>
      <c r="P17" s="788"/>
      <c r="Q17" s="788"/>
      <c r="R17" s="788"/>
      <c r="S17" s="788"/>
      <c r="T17" s="788"/>
      <c r="U17" s="788"/>
      <c r="V17" s="789"/>
      <c r="W17" s="863"/>
      <c r="X17" s="864"/>
      <c r="Y17" s="864"/>
      <c r="Z17" s="864"/>
      <c r="AA17" s="864"/>
      <c r="AB17" s="864"/>
      <c r="AC17" s="864"/>
      <c r="AD17" s="882"/>
      <c r="AE17" s="805"/>
      <c r="AF17" s="806"/>
      <c r="AG17" s="807"/>
      <c r="AH17" s="223"/>
      <c r="AI17" s="556"/>
      <c r="AJ17" s="557"/>
      <c r="AK17" s="556"/>
      <c r="AL17" s="556"/>
    </row>
    <row r="18" spans="1:256" ht="3" customHeight="1" x14ac:dyDescent="0.2">
      <c r="B18" s="335"/>
      <c r="C18" s="149"/>
      <c r="D18" s="149"/>
      <c r="E18" s="149"/>
      <c r="F18" s="149"/>
      <c r="G18" s="149"/>
      <c r="H18" s="149"/>
      <c r="I18" s="149"/>
      <c r="J18" s="149"/>
      <c r="K18" s="149"/>
      <c r="L18" s="149"/>
      <c r="M18" s="149"/>
      <c r="N18" s="149"/>
      <c r="O18" s="175"/>
      <c r="P18" s="175"/>
      <c r="Q18" s="175"/>
      <c r="R18" s="175"/>
      <c r="S18" s="175"/>
      <c r="T18" s="175"/>
      <c r="U18" s="175"/>
      <c r="V18" s="175"/>
      <c r="W18" s="175"/>
      <c r="X18" s="175"/>
      <c r="Y18" s="175"/>
      <c r="Z18" s="175"/>
      <c r="AA18" s="175"/>
      <c r="AB18" s="175"/>
      <c r="AC18" s="175"/>
      <c r="AD18" s="175"/>
      <c r="AE18" s="175"/>
      <c r="AF18" s="175"/>
      <c r="AG18" s="175"/>
      <c r="AH18" s="224"/>
      <c r="AI18" s="556"/>
      <c r="AJ18" s="557"/>
      <c r="AK18" s="556"/>
      <c r="AL18" s="556"/>
    </row>
    <row r="19" spans="1:256" ht="17.25" customHeight="1" x14ac:dyDescent="0.2">
      <c r="C19" s="1308" t="s">
        <v>1066</v>
      </c>
      <c r="D19" s="1308"/>
      <c r="E19" s="1308"/>
      <c r="F19" s="1308"/>
      <c r="G19" s="1312" t="s">
        <v>1003</v>
      </c>
      <c r="H19" s="1312"/>
      <c r="I19" s="1312"/>
      <c r="J19" s="1312"/>
      <c r="K19" s="1312"/>
      <c r="L19" s="1312"/>
      <c r="M19" s="1312"/>
      <c r="N19" s="1313"/>
      <c r="O19" s="1309"/>
      <c r="P19" s="1310"/>
      <c r="Q19" s="1310"/>
      <c r="R19" s="1310"/>
      <c r="S19" s="1310"/>
      <c r="T19" s="1310"/>
      <c r="U19" s="1310"/>
      <c r="V19" s="1310"/>
      <c r="W19" s="1310"/>
      <c r="X19" s="1310"/>
      <c r="Y19" s="1311"/>
      <c r="Z19" s="1309"/>
      <c r="AA19" s="1310"/>
      <c r="AB19" s="1310"/>
      <c r="AC19" s="1310"/>
      <c r="AD19" s="1310"/>
      <c r="AE19" s="1310"/>
      <c r="AF19" s="1310"/>
      <c r="AG19" s="1311"/>
      <c r="AH19" s="225"/>
      <c r="AI19" s="556"/>
      <c r="AJ19" s="557"/>
      <c r="AK19" s="556"/>
      <c r="AL19" s="556"/>
    </row>
    <row r="20" spans="1:256" ht="17.25" customHeight="1" x14ac:dyDescent="0.2">
      <c r="C20" s="1308"/>
      <c r="D20" s="1308"/>
      <c r="E20" s="1308"/>
      <c r="F20" s="1308"/>
      <c r="G20" s="180"/>
      <c r="H20" s="180"/>
      <c r="I20" s="180"/>
      <c r="J20" s="180"/>
      <c r="K20" s="180"/>
      <c r="L20" s="180"/>
      <c r="M20" s="180"/>
      <c r="N20" s="179" t="s">
        <v>1002</v>
      </c>
      <c r="O20" s="1309"/>
      <c r="P20" s="1310"/>
      <c r="Q20" s="1310"/>
      <c r="R20" s="1310"/>
      <c r="S20" s="1310"/>
      <c r="T20" s="1310"/>
      <c r="U20" s="1310"/>
      <c r="V20" s="1311"/>
      <c r="W20" s="1314"/>
      <c r="X20" s="1315"/>
      <c r="Y20" s="1315"/>
      <c r="Z20" s="1315"/>
      <c r="AA20" s="1315"/>
      <c r="AB20" s="1315"/>
      <c r="AC20" s="1315"/>
      <c r="AD20" s="1316"/>
      <c r="AE20" s="1305"/>
      <c r="AF20" s="1306"/>
      <c r="AG20" s="1307"/>
      <c r="AH20" s="225"/>
      <c r="AI20" s="556"/>
      <c r="AJ20" s="557"/>
      <c r="AK20" s="556"/>
      <c r="AL20" s="558"/>
      <c r="AM20" s="371"/>
    </row>
    <row r="21" spans="1:256" s="5" customFormat="1" ht="3" customHeight="1" x14ac:dyDescent="0.2">
      <c r="A21" s="555"/>
      <c r="B21" s="335"/>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226"/>
      <c r="AI21" s="556"/>
      <c r="AJ21" s="557"/>
      <c r="AK21" s="558"/>
      <c r="AL21" s="558"/>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66"/>
      <c r="HM21" s="66"/>
      <c r="HN21" s="66"/>
      <c r="HO21" s="66"/>
      <c r="HP21" s="66"/>
      <c r="HQ21" s="66"/>
      <c r="HR21" s="66"/>
      <c r="HS21" s="66"/>
      <c r="HT21" s="66"/>
      <c r="HU21" s="66"/>
      <c r="HV21" s="66"/>
      <c r="HW21" s="66"/>
      <c r="HX21" s="66"/>
      <c r="HY21" s="66"/>
      <c r="HZ21" s="66"/>
      <c r="IA21" s="66"/>
      <c r="IB21" s="66"/>
      <c r="IC21" s="66"/>
      <c r="ID21" s="66"/>
      <c r="IE21" s="66"/>
      <c r="IF21" s="66"/>
      <c r="IG21" s="66"/>
      <c r="IH21" s="66"/>
      <c r="II21" s="66"/>
      <c r="IJ21" s="66"/>
      <c r="IK21" s="66"/>
      <c r="IL21" s="66"/>
      <c r="IM21" s="66"/>
      <c r="IN21" s="66"/>
      <c r="IO21" s="66"/>
      <c r="IP21" s="66"/>
      <c r="IQ21" s="66"/>
      <c r="IR21" s="66"/>
      <c r="IS21" s="66"/>
      <c r="IT21" s="66"/>
      <c r="IU21" s="66"/>
      <c r="IV21" s="66"/>
    </row>
    <row r="22" spans="1:256" ht="17.25" customHeight="1" x14ac:dyDescent="0.2">
      <c r="C22" s="1304" t="s">
        <v>525</v>
      </c>
      <c r="D22" s="1304"/>
      <c r="E22" s="1304"/>
      <c r="F22" s="1304"/>
      <c r="G22" s="1304"/>
      <c r="H22" s="31"/>
      <c r="I22" s="31"/>
      <c r="J22" s="31"/>
      <c r="K22" s="31"/>
      <c r="L22" s="31"/>
      <c r="M22" s="31"/>
      <c r="N22" s="381" t="s">
        <v>538</v>
      </c>
      <c r="O22" s="787"/>
      <c r="P22" s="788"/>
      <c r="Q22" s="788"/>
      <c r="R22" s="788"/>
      <c r="S22" s="788"/>
      <c r="T22" s="788"/>
      <c r="U22" s="788"/>
      <c r="V22" s="788"/>
      <c r="W22" s="788"/>
      <c r="X22" s="788"/>
      <c r="Y22" s="788"/>
      <c r="Z22" s="788"/>
      <c r="AA22" s="788"/>
      <c r="AB22" s="788"/>
      <c r="AC22" s="788"/>
      <c r="AD22" s="788"/>
      <c r="AE22" s="788"/>
      <c r="AF22" s="788"/>
      <c r="AG22" s="789"/>
      <c r="AH22" s="225"/>
      <c r="AI22" s="558"/>
      <c r="AJ22" s="557"/>
      <c r="AK22" s="556"/>
      <c r="AL22" s="558"/>
      <c r="AM22" s="371"/>
    </row>
    <row r="23" spans="1:256" ht="17.25" customHeight="1" x14ac:dyDescent="0.2">
      <c r="C23" s="1304"/>
      <c r="D23" s="1304"/>
      <c r="E23" s="1304"/>
      <c r="F23" s="1304"/>
      <c r="G23" s="1304"/>
      <c r="H23" s="31"/>
      <c r="I23" s="31"/>
      <c r="J23" s="31"/>
      <c r="K23" s="31"/>
      <c r="L23" s="31"/>
      <c r="M23" s="31"/>
      <c r="N23" s="380" t="s">
        <v>719</v>
      </c>
      <c r="O23" s="787"/>
      <c r="P23" s="788"/>
      <c r="Q23" s="788"/>
      <c r="R23" s="788"/>
      <c r="S23" s="788"/>
      <c r="T23" s="788"/>
      <c r="U23" s="788"/>
      <c r="V23" s="788"/>
      <c r="W23" s="788"/>
      <c r="X23" s="788"/>
      <c r="Y23" s="788"/>
      <c r="Z23" s="788"/>
      <c r="AA23" s="788"/>
      <c r="AB23" s="788"/>
      <c r="AC23" s="788"/>
      <c r="AD23" s="788"/>
      <c r="AE23" s="788"/>
      <c r="AF23" s="788"/>
      <c r="AG23" s="789"/>
      <c r="AH23" s="227"/>
      <c r="AI23" s="556"/>
      <c r="AJ23" s="557"/>
      <c r="AK23" s="556"/>
      <c r="AL23" s="558"/>
      <c r="AM23" s="371"/>
    </row>
    <row r="24" spans="1:256" ht="17.25" customHeight="1" x14ac:dyDescent="0.2">
      <c r="C24" s="1301" t="s">
        <v>537</v>
      </c>
      <c r="D24" s="1301"/>
      <c r="E24" s="1301"/>
      <c r="F24" s="1301"/>
      <c r="G24" s="1301"/>
      <c r="H24" s="1301"/>
      <c r="I24" s="1301"/>
      <c r="J24" s="1301"/>
      <c r="K24" s="1301"/>
      <c r="L24" s="1301"/>
      <c r="M24" s="1301"/>
      <c r="N24" s="1302"/>
      <c r="O24" s="787"/>
      <c r="P24" s="788"/>
      <c r="Q24" s="788"/>
      <c r="R24" s="788"/>
      <c r="S24" s="788"/>
      <c r="T24" s="788"/>
      <c r="U24" s="788"/>
      <c r="V24" s="788"/>
      <c r="W24" s="788"/>
      <c r="X24" s="788"/>
      <c r="Y24" s="788"/>
      <c r="Z24" s="788"/>
      <c r="AA24" s="788"/>
      <c r="AB24" s="788"/>
      <c r="AC24" s="788"/>
      <c r="AD24" s="788"/>
      <c r="AE24" s="788"/>
      <c r="AF24" s="788"/>
      <c r="AG24" s="789"/>
      <c r="AH24" s="227"/>
      <c r="AI24" s="556"/>
      <c r="AK24" s="556"/>
      <c r="AL24" s="558"/>
    </row>
    <row r="25" spans="1:256" ht="17.25" customHeight="1" x14ac:dyDescent="0.2">
      <c r="C25" s="1301" t="s">
        <v>536</v>
      </c>
      <c r="D25" s="1301"/>
      <c r="E25" s="1301"/>
      <c r="F25" s="1301"/>
      <c r="G25" s="1301"/>
      <c r="H25" s="1301"/>
      <c r="I25" s="1301"/>
      <c r="J25" s="1301"/>
      <c r="K25" s="1301"/>
      <c r="L25" s="1301"/>
      <c r="M25" s="1301"/>
      <c r="N25" s="1302"/>
      <c r="O25" s="1317"/>
      <c r="P25" s="1318"/>
      <c r="Q25" s="1318"/>
      <c r="R25" s="1318"/>
      <c r="S25" s="1318"/>
      <c r="T25" s="1318"/>
      <c r="U25" s="1319"/>
      <c r="V25" s="1290" t="s">
        <v>535</v>
      </c>
      <c r="W25" s="1291"/>
      <c r="X25" s="1291"/>
      <c r="Y25" s="1291"/>
      <c r="Z25" s="1291"/>
      <c r="AA25" s="1317"/>
      <c r="AB25" s="1318"/>
      <c r="AC25" s="1318"/>
      <c r="AD25" s="1318"/>
      <c r="AE25" s="1318"/>
      <c r="AF25" s="1318"/>
      <c r="AG25" s="1319"/>
      <c r="AH25" s="226"/>
      <c r="AI25" s="556"/>
      <c r="AJ25" s="557"/>
      <c r="AK25" s="556"/>
      <c r="AL25" s="556"/>
    </row>
    <row r="26" spans="1:256" ht="3.75" customHeight="1" x14ac:dyDescent="0.2">
      <c r="A26" s="555"/>
      <c r="B26" s="33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226"/>
      <c r="AI26" s="556"/>
      <c r="AJ26" s="557"/>
      <c r="AK26" s="558"/>
      <c r="AL26" s="558"/>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c r="EK26" s="66"/>
      <c r="EL26" s="66"/>
      <c r="EM26" s="66"/>
      <c r="EN26" s="66"/>
      <c r="EO26" s="66"/>
      <c r="EP26" s="66"/>
      <c r="EQ26" s="66"/>
      <c r="ER26" s="66"/>
      <c r="ES26" s="66"/>
      <c r="ET26" s="66"/>
      <c r="EU26" s="66"/>
      <c r="EV26" s="66"/>
      <c r="EW26" s="66"/>
      <c r="EX26" s="66"/>
      <c r="EY26" s="66"/>
      <c r="EZ26" s="66"/>
      <c r="FA26" s="66"/>
      <c r="FB26" s="66"/>
      <c r="FC26" s="66"/>
      <c r="FD26" s="66"/>
      <c r="FE26" s="66"/>
      <c r="FF26" s="66"/>
      <c r="FG26" s="66"/>
      <c r="FH26" s="66"/>
      <c r="FI26" s="66"/>
      <c r="FJ26" s="66"/>
      <c r="FK26" s="66"/>
      <c r="FL26" s="66"/>
      <c r="FM26" s="66"/>
      <c r="FN26" s="66"/>
      <c r="FO26" s="66"/>
      <c r="FP26" s="66"/>
      <c r="FQ26" s="66"/>
      <c r="FR26" s="66"/>
      <c r="FS26" s="66"/>
      <c r="FT26" s="66"/>
      <c r="FU26" s="66"/>
      <c r="FV26" s="66"/>
      <c r="FW26" s="66"/>
      <c r="FX26" s="66"/>
      <c r="FY26" s="66"/>
      <c r="FZ26" s="66"/>
      <c r="GA26" s="66"/>
      <c r="GB26" s="66"/>
      <c r="GC26" s="66"/>
      <c r="GD26" s="66"/>
      <c r="GE26" s="66"/>
      <c r="GF26" s="66"/>
      <c r="GG26" s="66"/>
      <c r="GH26" s="66"/>
      <c r="GI26" s="66"/>
      <c r="GJ26" s="66"/>
      <c r="GK26" s="66"/>
      <c r="GL26" s="66"/>
      <c r="GM26" s="66"/>
      <c r="GN26" s="66"/>
      <c r="GO26" s="66"/>
      <c r="GP26" s="66"/>
      <c r="GQ26" s="66"/>
      <c r="GR26" s="66"/>
      <c r="GS26" s="66"/>
      <c r="GT26" s="66"/>
      <c r="GU26" s="66"/>
      <c r="GV26" s="66"/>
      <c r="GW26" s="66"/>
      <c r="GX26" s="66"/>
      <c r="GY26" s="66"/>
      <c r="GZ26" s="66"/>
      <c r="HA26" s="66"/>
      <c r="HB26" s="66"/>
      <c r="HC26" s="66"/>
      <c r="HD26" s="66"/>
      <c r="HE26" s="66"/>
      <c r="HF26" s="66"/>
      <c r="HG26" s="66"/>
      <c r="HH26" s="66"/>
      <c r="HI26" s="66"/>
      <c r="HJ26" s="66"/>
      <c r="HK26" s="66"/>
      <c r="HL26" s="66"/>
      <c r="HM26" s="66"/>
      <c r="HN26" s="66"/>
      <c r="HO26" s="66"/>
      <c r="HP26" s="66"/>
      <c r="HQ26" s="66"/>
      <c r="HR26" s="66"/>
      <c r="HS26" s="66"/>
      <c r="HT26" s="66"/>
      <c r="HU26" s="66"/>
      <c r="HV26" s="66"/>
      <c r="HW26" s="66"/>
      <c r="HX26" s="66"/>
      <c r="HY26" s="66"/>
      <c r="HZ26" s="66"/>
      <c r="IA26" s="66"/>
      <c r="IB26" s="66"/>
      <c r="IC26" s="66"/>
      <c r="ID26" s="66"/>
      <c r="IE26" s="66"/>
      <c r="IF26" s="66"/>
      <c r="IG26" s="66"/>
      <c r="IH26" s="66"/>
      <c r="II26" s="66"/>
      <c r="IJ26" s="66"/>
      <c r="IK26" s="66"/>
      <c r="IL26" s="66"/>
      <c r="IM26" s="66"/>
      <c r="IN26" s="66"/>
      <c r="IO26" s="66"/>
      <c r="IP26" s="66"/>
      <c r="IQ26" s="66"/>
      <c r="IR26" s="66"/>
      <c r="IS26" s="66"/>
      <c r="IT26" s="66"/>
      <c r="IU26" s="66"/>
      <c r="IV26" s="66"/>
    </row>
    <row r="27" spans="1:256" ht="17.25" customHeight="1" x14ac:dyDescent="0.2">
      <c r="C27" s="1301" t="s">
        <v>724</v>
      </c>
      <c r="D27" s="1301"/>
      <c r="E27" s="1301"/>
      <c r="F27" s="1301"/>
      <c r="G27" s="1301"/>
      <c r="H27" s="1301"/>
      <c r="I27" s="1301"/>
      <c r="J27" s="1301"/>
      <c r="K27" s="1301"/>
      <c r="L27" s="1301"/>
      <c r="M27" s="1301"/>
      <c r="N27" s="1302"/>
      <c r="O27" s="1284"/>
      <c r="P27" s="1285"/>
      <c r="Q27" s="1285"/>
      <c r="R27" s="1285"/>
      <c r="S27" s="1285"/>
      <c r="T27" s="1285"/>
      <c r="U27" s="1286"/>
      <c r="V27" s="1290" t="s">
        <v>523</v>
      </c>
      <c r="W27" s="1291"/>
      <c r="X27" s="1291"/>
      <c r="Y27" s="1291"/>
      <c r="Z27" s="1291"/>
      <c r="AA27" s="1284"/>
      <c r="AB27" s="1285"/>
      <c r="AC27" s="1285"/>
      <c r="AD27" s="1285"/>
      <c r="AE27" s="1285"/>
      <c r="AF27" s="1285"/>
      <c r="AG27" s="1286"/>
      <c r="AH27" s="226"/>
      <c r="AI27" s="558"/>
      <c r="AJ27" s="557"/>
      <c r="AK27" s="558"/>
      <c r="AL27" s="556"/>
    </row>
    <row r="28" spans="1:256" ht="18.75" customHeight="1" x14ac:dyDescent="0.2">
      <c r="C28" s="1312" t="s">
        <v>726</v>
      </c>
      <c r="D28" s="1312"/>
      <c r="E28" s="1312"/>
      <c r="F28" s="1312"/>
      <c r="G28" s="1312"/>
      <c r="H28" s="1312"/>
      <c r="I28" s="1312"/>
      <c r="J28" s="1312"/>
      <c r="K28" s="1312"/>
      <c r="L28" s="1312"/>
      <c r="M28" s="1312"/>
      <c r="N28" s="1313"/>
      <c r="O28" s="787"/>
      <c r="P28" s="788"/>
      <c r="Q28" s="788"/>
      <c r="R28" s="788"/>
      <c r="S28" s="788"/>
      <c r="T28" s="788"/>
      <c r="U28" s="789"/>
      <c r="V28" s="1290" t="s">
        <v>1000</v>
      </c>
      <c r="W28" s="1291"/>
      <c r="X28" s="1291"/>
      <c r="Y28" s="1291"/>
      <c r="Z28" s="1291"/>
      <c r="AA28" s="1287"/>
      <c r="AB28" s="1288"/>
      <c r="AC28" s="1288"/>
      <c r="AD28" s="1288"/>
      <c r="AE28" s="1288"/>
      <c r="AF28" s="1288"/>
      <c r="AG28" s="1289"/>
      <c r="AH28" s="225"/>
      <c r="AI28" s="556"/>
      <c r="AJ28" s="557"/>
      <c r="AK28" s="558"/>
      <c r="AL28" s="556"/>
    </row>
    <row r="29" spans="1:256" ht="18.75" customHeight="1" x14ac:dyDescent="0.2">
      <c r="C29" s="5" t="s">
        <v>110</v>
      </c>
      <c r="D29" s="5"/>
      <c r="E29" s="5"/>
      <c r="AG29" s="32"/>
      <c r="AH29" s="227"/>
      <c r="AI29" s="556"/>
      <c r="AK29" s="556"/>
      <c r="AL29" s="556"/>
    </row>
    <row r="30" spans="1:256" ht="12.75" customHeight="1" x14ac:dyDescent="0.2">
      <c r="C30" s="5"/>
      <c r="D30" s="12" t="s">
        <v>592</v>
      </c>
      <c r="E30" s="5"/>
      <c r="AG30" s="32"/>
      <c r="AH30" s="227"/>
      <c r="AI30" s="556"/>
      <c r="AJ30" s="557"/>
      <c r="AK30" s="556"/>
      <c r="AL30" s="556"/>
    </row>
    <row r="31" spans="1:256" ht="16.5" customHeight="1" x14ac:dyDescent="0.2">
      <c r="C31" s="871" t="s">
        <v>710</v>
      </c>
      <c r="D31" s="872"/>
      <c r="E31" s="872"/>
      <c r="F31" s="872"/>
      <c r="G31" s="872"/>
      <c r="H31" s="872"/>
      <c r="I31" s="872"/>
      <c r="J31" s="872"/>
      <c r="K31" s="872"/>
      <c r="L31" s="872"/>
      <c r="M31" s="872"/>
      <c r="N31" s="873"/>
      <c r="O31" s="787"/>
      <c r="P31" s="788"/>
      <c r="Q31" s="788"/>
      <c r="R31" s="788"/>
      <c r="S31" s="788"/>
      <c r="T31" s="788"/>
      <c r="U31" s="788"/>
      <c r="V31" s="788"/>
      <c r="W31" s="788"/>
      <c r="X31" s="788"/>
      <c r="Y31" s="788"/>
      <c r="Z31" s="788"/>
      <c r="AA31" s="788"/>
      <c r="AB31" s="788"/>
      <c r="AC31" s="788"/>
      <c r="AD31" s="788"/>
      <c r="AE31" s="788"/>
      <c r="AF31" s="788"/>
      <c r="AG31" s="789"/>
      <c r="AH31" s="225"/>
      <c r="AI31" s="556"/>
      <c r="AJ31" s="557"/>
      <c r="AK31" s="556"/>
      <c r="AL31" s="556"/>
    </row>
    <row r="32" spans="1:256" ht="17.25" customHeight="1" x14ac:dyDescent="0.2">
      <c r="C32" s="173" t="s">
        <v>581</v>
      </c>
      <c r="D32" s="163"/>
      <c r="E32" s="163"/>
      <c r="F32" s="163"/>
      <c r="G32" s="163"/>
      <c r="H32" s="163"/>
      <c r="I32" s="163"/>
      <c r="J32" s="163"/>
      <c r="K32" s="163"/>
      <c r="L32" s="163"/>
      <c r="M32" s="163"/>
      <c r="N32" s="174" t="s">
        <v>1001</v>
      </c>
      <c r="O32" s="808"/>
      <c r="P32" s="809"/>
      <c r="Q32" s="810"/>
      <c r="R32" s="787"/>
      <c r="S32" s="788"/>
      <c r="T32" s="788"/>
      <c r="U32" s="788"/>
      <c r="V32" s="788"/>
      <c r="W32" s="788"/>
      <c r="X32" s="788"/>
      <c r="Y32" s="788"/>
      <c r="Z32" s="789"/>
      <c r="AA32" s="787"/>
      <c r="AB32" s="788"/>
      <c r="AC32" s="788"/>
      <c r="AD32" s="788"/>
      <c r="AE32" s="788"/>
      <c r="AF32" s="788"/>
      <c r="AG32" s="789"/>
      <c r="AH32" s="225"/>
      <c r="AI32" s="556"/>
      <c r="AJ32" s="557"/>
      <c r="AK32" s="556"/>
      <c r="AL32" s="556"/>
    </row>
    <row r="33" spans="2:38" ht="17.25" customHeight="1" x14ac:dyDescent="0.2">
      <c r="C33" s="162"/>
      <c r="D33" s="163"/>
      <c r="E33" s="163"/>
      <c r="F33" s="163"/>
      <c r="G33" s="163"/>
      <c r="H33" s="163"/>
      <c r="I33" s="163"/>
      <c r="J33" s="163"/>
      <c r="K33" s="163"/>
      <c r="L33" s="163"/>
      <c r="M33" s="163"/>
      <c r="N33" s="174" t="s">
        <v>503</v>
      </c>
      <c r="O33" s="787"/>
      <c r="P33" s="788"/>
      <c r="Q33" s="788"/>
      <c r="R33" s="788"/>
      <c r="S33" s="788"/>
      <c r="T33" s="788"/>
      <c r="U33" s="788"/>
      <c r="V33" s="789"/>
      <c r="W33" s="863"/>
      <c r="X33" s="864"/>
      <c r="Y33" s="864"/>
      <c r="Z33" s="864"/>
      <c r="AA33" s="864"/>
      <c r="AB33" s="864"/>
      <c r="AC33" s="864"/>
      <c r="AD33" s="882"/>
      <c r="AE33" s="805"/>
      <c r="AF33" s="806"/>
      <c r="AG33" s="807"/>
      <c r="AH33" s="225"/>
      <c r="AI33" s="556"/>
      <c r="AJ33" s="557"/>
      <c r="AK33" s="556"/>
      <c r="AL33" s="556"/>
    </row>
    <row r="34" spans="2:38" ht="1.5" customHeight="1" x14ac:dyDescent="0.2">
      <c r="C34" s="5"/>
      <c r="D34" s="5"/>
      <c r="E34" s="5"/>
      <c r="F34" s="12"/>
      <c r="G34" s="12"/>
      <c r="H34" s="12"/>
      <c r="I34" s="12"/>
      <c r="J34" s="12"/>
      <c r="K34" s="12"/>
      <c r="L34" s="12"/>
      <c r="M34" s="12"/>
      <c r="N34" s="12"/>
      <c r="O34" s="71"/>
      <c r="P34" s="71"/>
      <c r="Q34" s="71"/>
      <c r="R34" s="71"/>
      <c r="S34" s="71"/>
      <c r="T34" s="71"/>
      <c r="U34" s="71"/>
      <c r="V34" s="71"/>
      <c r="W34" s="71"/>
      <c r="X34" s="71"/>
      <c r="Y34" s="71"/>
      <c r="Z34" s="71"/>
      <c r="AA34" s="71"/>
      <c r="AB34" s="71"/>
      <c r="AC34" s="71"/>
      <c r="AD34" s="71"/>
      <c r="AE34" s="71"/>
      <c r="AF34" s="71"/>
      <c r="AG34" s="71"/>
      <c r="AH34" s="227"/>
      <c r="AI34" s="556"/>
      <c r="AJ34" s="557"/>
      <c r="AK34" s="556"/>
      <c r="AL34" s="556"/>
    </row>
    <row r="35" spans="2:38" ht="14.25" customHeight="1" x14ac:dyDescent="0.2">
      <c r="C35" s="871" t="s">
        <v>710</v>
      </c>
      <c r="D35" s="872"/>
      <c r="E35" s="872"/>
      <c r="F35" s="872"/>
      <c r="G35" s="872"/>
      <c r="H35" s="872"/>
      <c r="I35" s="872"/>
      <c r="J35" s="872"/>
      <c r="K35" s="872"/>
      <c r="L35" s="872"/>
      <c r="M35" s="872"/>
      <c r="N35" s="873"/>
      <c r="O35" s="787"/>
      <c r="P35" s="788"/>
      <c r="Q35" s="788"/>
      <c r="R35" s="788"/>
      <c r="S35" s="788"/>
      <c r="T35" s="788"/>
      <c r="U35" s="788"/>
      <c r="V35" s="788"/>
      <c r="W35" s="788"/>
      <c r="X35" s="788"/>
      <c r="Y35" s="788"/>
      <c r="Z35" s="788"/>
      <c r="AA35" s="788"/>
      <c r="AB35" s="788"/>
      <c r="AC35" s="788"/>
      <c r="AD35" s="788"/>
      <c r="AE35" s="788"/>
      <c r="AF35" s="788"/>
      <c r="AG35" s="789"/>
      <c r="AH35" s="227"/>
      <c r="AI35" s="556"/>
      <c r="AJ35" s="557"/>
      <c r="AK35" s="556"/>
      <c r="AL35" s="556"/>
    </row>
    <row r="36" spans="2:38" ht="15" customHeight="1" x14ac:dyDescent="0.2">
      <c r="C36" s="173" t="s">
        <v>582</v>
      </c>
      <c r="D36" s="163"/>
      <c r="E36" s="163"/>
      <c r="F36" s="163"/>
      <c r="G36" s="163"/>
      <c r="H36" s="163"/>
      <c r="I36" s="163"/>
      <c r="J36" s="163"/>
      <c r="K36" s="163"/>
      <c r="L36" s="163"/>
      <c r="M36" s="163"/>
      <c r="N36" s="174" t="s">
        <v>1001</v>
      </c>
      <c r="O36" s="808"/>
      <c r="P36" s="809"/>
      <c r="Q36" s="810"/>
      <c r="R36" s="787"/>
      <c r="S36" s="788"/>
      <c r="T36" s="788"/>
      <c r="U36" s="788"/>
      <c r="V36" s="788"/>
      <c r="W36" s="788"/>
      <c r="X36" s="788"/>
      <c r="Y36" s="788"/>
      <c r="Z36" s="789"/>
      <c r="AA36" s="787"/>
      <c r="AB36" s="788"/>
      <c r="AC36" s="788"/>
      <c r="AD36" s="788"/>
      <c r="AE36" s="788"/>
      <c r="AF36" s="788"/>
      <c r="AG36" s="789"/>
      <c r="AH36" s="227"/>
      <c r="AI36" s="556"/>
      <c r="AJ36" s="557"/>
      <c r="AK36" s="556"/>
      <c r="AL36" s="556"/>
    </row>
    <row r="37" spans="2:38" ht="15.75" customHeight="1" x14ac:dyDescent="0.2">
      <c r="C37" s="162"/>
      <c r="D37" s="163"/>
      <c r="E37" s="163"/>
      <c r="F37" s="163"/>
      <c r="G37" s="163"/>
      <c r="H37" s="163"/>
      <c r="I37" s="163"/>
      <c r="J37" s="163"/>
      <c r="K37" s="163"/>
      <c r="L37" s="163"/>
      <c r="M37" s="163"/>
      <c r="N37" s="174" t="s">
        <v>502</v>
      </c>
      <c r="O37" s="787"/>
      <c r="P37" s="788"/>
      <c r="Q37" s="788"/>
      <c r="R37" s="788"/>
      <c r="S37" s="788"/>
      <c r="T37" s="788"/>
      <c r="U37" s="788"/>
      <c r="V37" s="789"/>
      <c r="W37" s="863"/>
      <c r="X37" s="864"/>
      <c r="Y37" s="864"/>
      <c r="Z37" s="864"/>
      <c r="AA37" s="864"/>
      <c r="AB37" s="864"/>
      <c r="AC37" s="864"/>
      <c r="AD37" s="882"/>
      <c r="AE37" s="805"/>
      <c r="AF37" s="806"/>
      <c r="AG37" s="807"/>
      <c r="AH37" s="227"/>
      <c r="AI37" s="556"/>
      <c r="AJ37" s="557"/>
      <c r="AK37" s="556"/>
      <c r="AL37" s="556"/>
    </row>
    <row r="38" spans="2:38" ht="1.5" customHeight="1" x14ac:dyDescent="0.2">
      <c r="B38" s="332"/>
      <c r="C38" s="46"/>
      <c r="D38" s="46"/>
      <c r="E38" s="46"/>
      <c r="F38" s="46"/>
      <c r="G38" s="46"/>
      <c r="H38" s="46"/>
      <c r="I38" s="46"/>
      <c r="J38" s="46"/>
      <c r="K38" s="46"/>
      <c r="L38" s="46"/>
      <c r="M38" s="46"/>
      <c r="N38" s="46"/>
      <c r="O38" s="152"/>
      <c r="P38" s="152"/>
      <c r="Q38" s="152"/>
      <c r="R38" s="152"/>
      <c r="S38" s="152"/>
      <c r="T38" s="152"/>
      <c r="U38" s="152"/>
      <c r="V38" s="152"/>
      <c r="W38" s="152"/>
      <c r="X38" s="152"/>
      <c r="Y38" s="152"/>
      <c r="Z38" s="152"/>
      <c r="AA38" s="152"/>
      <c r="AB38" s="152"/>
      <c r="AC38" s="152"/>
      <c r="AD38" s="152"/>
      <c r="AE38" s="152"/>
      <c r="AF38" s="152"/>
      <c r="AG38" s="152"/>
      <c r="AH38" s="228"/>
      <c r="AI38" s="556"/>
      <c r="AJ38" s="557"/>
      <c r="AK38" s="556"/>
      <c r="AL38" s="556"/>
    </row>
    <row r="39" spans="2:38" ht="15.75" customHeight="1" x14ac:dyDescent="0.2">
      <c r="C39" s="871" t="s">
        <v>710</v>
      </c>
      <c r="D39" s="872"/>
      <c r="E39" s="872"/>
      <c r="F39" s="872"/>
      <c r="G39" s="872"/>
      <c r="H39" s="872"/>
      <c r="I39" s="872"/>
      <c r="J39" s="872"/>
      <c r="K39" s="872"/>
      <c r="L39" s="872"/>
      <c r="M39" s="872"/>
      <c r="N39" s="873"/>
      <c r="O39" s="787"/>
      <c r="P39" s="788"/>
      <c r="Q39" s="788"/>
      <c r="R39" s="788"/>
      <c r="S39" s="788"/>
      <c r="T39" s="788"/>
      <c r="U39" s="788"/>
      <c r="V39" s="788"/>
      <c r="W39" s="788"/>
      <c r="X39" s="788"/>
      <c r="Y39" s="788"/>
      <c r="Z39" s="788"/>
      <c r="AA39" s="788"/>
      <c r="AB39" s="788"/>
      <c r="AC39" s="788"/>
      <c r="AD39" s="788"/>
      <c r="AE39" s="788"/>
      <c r="AF39" s="788"/>
      <c r="AG39" s="789"/>
      <c r="AI39" s="556"/>
      <c r="AJ39" s="557"/>
      <c r="AK39" s="556"/>
      <c r="AL39" s="556"/>
    </row>
    <row r="40" spans="2:38" ht="15.75" customHeight="1" x14ac:dyDescent="0.2">
      <c r="C40" s="173" t="s">
        <v>583</v>
      </c>
      <c r="D40" s="163"/>
      <c r="E40" s="163"/>
      <c r="F40" s="163"/>
      <c r="G40" s="163"/>
      <c r="H40" s="163"/>
      <c r="I40" s="163"/>
      <c r="J40" s="163"/>
      <c r="K40" s="163"/>
      <c r="L40" s="163"/>
      <c r="M40" s="163"/>
      <c r="N40" s="174" t="s">
        <v>1001</v>
      </c>
      <c r="O40" s="808"/>
      <c r="P40" s="809"/>
      <c r="Q40" s="810"/>
      <c r="R40" s="787"/>
      <c r="S40" s="788"/>
      <c r="T40" s="788"/>
      <c r="U40" s="788"/>
      <c r="V40" s="788"/>
      <c r="W40" s="788"/>
      <c r="X40" s="788"/>
      <c r="Y40" s="788"/>
      <c r="Z40" s="789"/>
      <c r="AA40" s="787"/>
      <c r="AB40" s="788"/>
      <c r="AC40" s="788"/>
      <c r="AD40" s="788"/>
      <c r="AE40" s="788"/>
      <c r="AF40" s="788"/>
      <c r="AG40" s="789"/>
      <c r="AI40" s="556"/>
      <c r="AJ40" s="557"/>
      <c r="AK40" s="556"/>
      <c r="AL40" s="556"/>
    </row>
    <row r="41" spans="2:38" ht="15.75" customHeight="1" x14ac:dyDescent="0.2">
      <c r="C41" s="162"/>
      <c r="D41" s="163"/>
      <c r="E41" s="163"/>
      <c r="F41" s="163"/>
      <c r="G41" s="163"/>
      <c r="H41" s="163"/>
      <c r="I41" s="163"/>
      <c r="J41" s="163"/>
      <c r="K41" s="163"/>
      <c r="L41" s="163"/>
      <c r="M41" s="163"/>
      <c r="N41" s="174" t="s">
        <v>502</v>
      </c>
      <c r="O41" s="787"/>
      <c r="P41" s="788"/>
      <c r="Q41" s="788"/>
      <c r="R41" s="788"/>
      <c r="S41" s="788"/>
      <c r="T41" s="788"/>
      <c r="U41" s="788"/>
      <c r="V41" s="789"/>
      <c r="W41" s="863"/>
      <c r="X41" s="864"/>
      <c r="Y41" s="864"/>
      <c r="Z41" s="864"/>
      <c r="AA41" s="864"/>
      <c r="AB41" s="864"/>
      <c r="AC41" s="864"/>
      <c r="AD41" s="882"/>
      <c r="AE41" s="805"/>
      <c r="AF41" s="806"/>
      <c r="AG41" s="807"/>
      <c r="AI41" s="556"/>
      <c r="AJ41" s="557"/>
      <c r="AK41" s="556"/>
      <c r="AL41" s="556"/>
    </row>
    <row r="42" spans="2:38" ht="14.25" customHeight="1" x14ac:dyDescent="0.2">
      <c r="C42" s="204" t="s">
        <v>111</v>
      </c>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I42" s="556"/>
      <c r="AJ42" s="557"/>
      <c r="AK42" s="556"/>
      <c r="AL42" s="556"/>
    </row>
    <row r="43" spans="2:38" ht="17.25" customHeight="1" x14ac:dyDescent="0.2">
      <c r="C43" s="153" t="s">
        <v>1063</v>
      </c>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I43" s="556"/>
      <c r="AJ43" s="557"/>
      <c r="AK43" s="556"/>
      <c r="AL43" s="556"/>
    </row>
    <row r="44" spans="2:38" ht="11.25" customHeight="1" x14ac:dyDescent="0.2">
      <c r="C44" s="154" t="s">
        <v>1064</v>
      </c>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I44" s="556"/>
      <c r="AJ44" s="557"/>
      <c r="AK44" s="556"/>
      <c r="AL44" s="556"/>
    </row>
    <row r="45" spans="2:38" ht="15.75" customHeight="1" x14ac:dyDescent="0.2">
      <c r="C45" s="1322" t="s">
        <v>538</v>
      </c>
      <c r="D45" s="1323"/>
      <c r="E45" s="1323"/>
      <c r="F45" s="1323"/>
      <c r="G45" s="1323"/>
      <c r="H45" s="1323"/>
      <c r="I45" s="1323"/>
      <c r="J45" s="1324"/>
      <c r="K45" s="787"/>
      <c r="L45" s="788"/>
      <c r="M45" s="788"/>
      <c r="N45" s="788"/>
      <c r="O45" s="788"/>
      <c r="P45" s="788"/>
      <c r="Q45" s="788"/>
      <c r="R45" s="788"/>
      <c r="S45" s="788"/>
      <c r="T45" s="788"/>
      <c r="U45" s="788"/>
      <c r="V45" s="788"/>
      <c r="W45" s="788"/>
      <c r="X45" s="788"/>
      <c r="Y45" s="788"/>
      <c r="Z45" s="788"/>
      <c r="AA45" s="788"/>
      <c r="AB45" s="788"/>
      <c r="AC45" s="788"/>
      <c r="AD45" s="788"/>
      <c r="AE45" s="788"/>
      <c r="AF45" s="788"/>
      <c r="AG45" s="789"/>
      <c r="AI45" s="556"/>
      <c r="AJ45" s="557">
        <f>IF(COUNTA(K45:K48)&lt;4,0,1)</f>
        <v>0</v>
      </c>
      <c r="AK45" s="556">
        <f>IF(AF125="X", IF(AJ45=0,1,2),0)</f>
        <v>0</v>
      </c>
      <c r="AL45" s="556"/>
    </row>
    <row r="46" spans="2:38" ht="16.5" customHeight="1" x14ac:dyDescent="0.2">
      <c r="C46" s="1322" t="s">
        <v>539</v>
      </c>
      <c r="D46" s="1323"/>
      <c r="E46" s="1323"/>
      <c r="F46" s="1323"/>
      <c r="G46" s="1323"/>
      <c r="H46" s="1323"/>
      <c r="I46" s="1323"/>
      <c r="J46" s="1324"/>
      <c r="K46" s="787"/>
      <c r="L46" s="788"/>
      <c r="M46" s="788"/>
      <c r="N46" s="788"/>
      <c r="O46" s="788"/>
      <c r="P46" s="788"/>
      <c r="Q46" s="788"/>
      <c r="R46" s="788"/>
      <c r="S46" s="788"/>
      <c r="T46" s="788"/>
      <c r="U46" s="788"/>
      <c r="V46" s="788"/>
      <c r="W46" s="788"/>
      <c r="X46" s="788"/>
      <c r="Y46" s="788"/>
      <c r="Z46" s="788"/>
      <c r="AA46" s="788"/>
      <c r="AB46" s="788"/>
      <c r="AC46" s="788"/>
      <c r="AD46" s="788"/>
      <c r="AE46" s="788"/>
      <c r="AF46" s="788"/>
      <c r="AG46" s="789"/>
      <c r="AI46" s="556"/>
      <c r="AJ46" s="557"/>
      <c r="AK46" s="556"/>
      <c r="AL46" s="556"/>
    </row>
    <row r="47" spans="2:38" ht="15.75" customHeight="1" x14ac:dyDescent="0.2">
      <c r="C47" s="1322" t="s">
        <v>1006</v>
      </c>
      <c r="D47" s="1323"/>
      <c r="E47" s="1323"/>
      <c r="F47" s="1323"/>
      <c r="G47" s="1323"/>
      <c r="H47" s="1323"/>
      <c r="I47" s="1323"/>
      <c r="J47" s="1324"/>
      <c r="K47" s="787"/>
      <c r="L47" s="788"/>
      <c r="M47" s="788"/>
      <c r="N47" s="788"/>
      <c r="O47" s="788"/>
      <c r="P47" s="788"/>
      <c r="Q47" s="788"/>
      <c r="R47" s="788"/>
      <c r="S47" s="788"/>
      <c r="T47" s="788"/>
      <c r="U47" s="788"/>
      <c r="V47" s="788"/>
      <c r="W47" s="788"/>
      <c r="X47" s="788"/>
      <c r="Y47" s="788"/>
      <c r="Z47" s="788"/>
      <c r="AA47" s="788"/>
      <c r="AB47" s="788"/>
      <c r="AC47" s="788"/>
      <c r="AD47" s="788"/>
      <c r="AE47" s="788"/>
      <c r="AF47" s="788"/>
      <c r="AG47" s="789"/>
      <c r="AI47" s="556"/>
      <c r="AJ47" s="557"/>
      <c r="AK47" s="556"/>
      <c r="AL47" s="556"/>
    </row>
    <row r="48" spans="2:38" ht="16.5" customHeight="1" x14ac:dyDescent="0.2">
      <c r="C48" s="1322" t="s">
        <v>1004</v>
      </c>
      <c r="D48" s="1323"/>
      <c r="E48" s="1323"/>
      <c r="F48" s="1323"/>
      <c r="G48" s="1323"/>
      <c r="H48" s="1323"/>
      <c r="I48" s="1323"/>
      <c r="J48" s="1324"/>
      <c r="K48" s="1317"/>
      <c r="L48" s="1318"/>
      <c r="M48" s="1318"/>
      <c r="N48" s="1318"/>
      <c r="O48" s="1318"/>
      <c r="P48" s="1319"/>
      <c r="Q48" s="1325" t="s">
        <v>1005</v>
      </c>
      <c r="R48" s="1326"/>
      <c r="S48" s="1326"/>
      <c r="T48" s="1326"/>
      <c r="U48" s="1326"/>
      <c r="V48" s="1326"/>
      <c r="W48" s="1326"/>
      <c r="X48" s="1326"/>
      <c r="Y48" s="1326"/>
      <c r="Z48" s="1326"/>
      <c r="AA48" s="1327"/>
      <c r="AB48" s="1328"/>
      <c r="AC48" s="1329"/>
      <c r="AD48" s="1329"/>
      <c r="AE48" s="1329"/>
      <c r="AF48" s="1329"/>
      <c r="AG48" s="1330"/>
      <c r="AI48" s="556"/>
      <c r="AJ48" s="557"/>
      <c r="AK48" s="556"/>
      <c r="AL48" s="556"/>
    </row>
    <row r="49" spans="3:38" ht="3" customHeight="1" x14ac:dyDescent="0.2">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I49" s="556"/>
      <c r="AJ49" s="557"/>
      <c r="AK49" s="556"/>
      <c r="AL49" s="556"/>
    </row>
    <row r="50" spans="3:38" ht="6.75" customHeight="1" x14ac:dyDescent="0.2">
      <c r="AI50" s="556"/>
      <c r="AJ50" s="557"/>
      <c r="AK50" s="556"/>
      <c r="AL50" s="556"/>
    </row>
    <row r="51" spans="3:38" ht="15.75" customHeight="1" x14ac:dyDescent="0.2">
      <c r="C51" s="10" t="s">
        <v>5</v>
      </c>
      <c r="AH51" s="316" t="s">
        <v>746</v>
      </c>
      <c r="AI51" s="556"/>
      <c r="AJ51" s="557"/>
      <c r="AK51" s="556"/>
      <c r="AL51" s="556"/>
    </row>
    <row r="52" spans="3:38" ht="18.75" customHeight="1" x14ac:dyDescent="0.2">
      <c r="D52" s="14" t="s">
        <v>748</v>
      </c>
      <c r="E52" s="13"/>
      <c r="AH52" s="230"/>
      <c r="AI52" s="556"/>
      <c r="AJ52" s="557"/>
      <c r="AK52" s="556"/>
      <c r="AL52" s="556"/>
    </row>
    <row r="53" spans="3:38" ht="39.75" customHeight="1" x14ac:dyDescent="0.2">
      <c r="D53" s="142" t="s">
        <v>12</v>
      </c>
      <c r="E53" s="1340" t="s">
        <v>11</v>
      </c>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4"/>
      <c r="AH53" s="230"/>
      <c r="AI53" s="556"/>
      <c r="AJ53" s="557"/>
      <c r="AK53" s="556"/>
      <c r="AL53" s="556"/>
    </row>
    <row r="54" spans="3:38" ht="12" customHeight="1" x14ac:dyDescent="0.2">
      <c r="D54" s="142"/>
      <c r="E54" s="150"/>
      <c r="F54" s="18" t="s">
        <v>765</v>
      </c>
      <c r="G54" s="1332" t="s">
        <v>1069</v>
      </c>
      <c r="H54" s="1320"/>
      <c r="I54" s="1320"/>
      <c r="J54" s="1320"/>
      <c r="K54" s="1320"/>
      <c r="L54" s="1320"/>
      <c r="M54" s="1320"/>
      <c r="N54" s="1320"/>
      <c r="O54" s="1320"/>
      <c r="P54" s="1320"/>
      <c r="Q54" s="1320"/>
      <c r="R54" s="1320"/>
      <c r="S54" s="1320"/>
      <c r="T54" s="1320"/>
      <c r="U54" s="1320"/>
      <c r="V54" s="1320"/>
      <c r="W54" s="1320"/>
      <c r="X54" s="1320"/>
      <c r="Y54" s="1320"/>
      <c r="Z54" s="1320"/>
      <c r="AA54" s="1320"/>
      <c r="AB54" s="1320"/>
      <c r="AC54" s="1320"/>
      <c r="AD54" s="1320"/>
      <c r="AE54" s="1320"/>
      <c r="AF54" s="1320"/>
      <c r="AG54" s="4"/>
      <c r="AH54" s="230"/>
      <c r="AI54" s="556"/>
      <c r="AJ54" s="557"/>
      <c r="AK54" s="556"/>
      <c r="AL54" s="556"/>
    </row>
    <row r="55" spans="3:38" ht="12" customHeight="1" x14ac:dyDescent="0.2">
      <c r="D55" s="15"/>
      <c r="E55" s="9"/>
      <c r="F55" s="18" t="s">
        <v>768</v>
      </c>
      <c r="G55" s="1320" t="s">
        <v>7</v>
      </c>
      <c r="H55" s="1320"/>
      <c r="I55" s="1320"/>
      <c r="J55" s="1320"/>
      <c r="K55" s="1320"/>
      <c r="L55" s="1320"/>
      <c r="M55" s="1320"/>
      <c r="N55" s="1320"/>
      <c r="O55" s="1320"/>
      <c r="P55" s="1320"/>
      <c r="Q55" s="1320"/>
      <c r="R55" s="1320"/>
      <c r="S55" s="1320"/>
      <c r="T55" s="1320"/>
      <c r="U55" s="1320"/>
      <c r="V55" s="1320"/>
      <c r="W55" s="1320"/>
      <c r="X55" s="1320"/>
      <c r="Y55" s="1320"/>
      <c r="Z55" s="1320"/>
      <c r="AA55" s="1320"/>
      <c r="AB55" s="1320"/>
      <c r="AC55" s="1320"/>
      <c r="AD55" s="1320"/>
      <c r="AE55" s="1320"/>
      <c r="AF55" s="1320"/>
      <c r="AG55" s="4"/>
      <c r="AH55" s="230"/>
      <c r="AI55" s="556"/>
      <c r="AJ55" s="557"/>
      <c r="AK55" s="556"/>
      <c r="AL55" s="556"/>
    </row>
    <row r="56" spans="3:38" ht="12" customHeight="1" x14ac:dyDescent="0.2">
      <c r="D56" s="15"/>
      <c r="E56" s="9"/>
      <c r="F56" s="16" t="s">
        <v>770</v>
      </c>
      <c r="G56" s="1320" t="s">
        <v>8</v>
      </c>
      <c r="H56" s="1320"/>
      <c r="I56" s="1320"/>
      <c r="J56" s="1320"/>
      <c r="K56" s="1320"/>
      <c r="L56" s="1320"/>
      <c r="M56" s="1320"/>
      <c r="N56" s="1320"/>
      <c r="O56" s="1320"/>
      <c r="P56" s="1320"/>
      <c r="Q56" s="1320"/>
      <c r="R56" s="1320"/>
      <c r="S56" s="1320"/>
      <c r="T56" s="1320"/>
      <c r="U56" s="1320"/>
      <c r="V56" s="1320"/>
      <c r="W56" s="1320"/>
      <c r="X56" s="1320"/>
      <c r="Y56" s="1320"/>
      <c r="Z56" s="1320"/>
      <c r="AA56" s="1320"/>
      <c r="AB56" s="1320"/>
      <c r="AC56" s="1320"/>
      <c r="AD56" s="1320"/>
      <c r="AE56" s="1320"/>
      <c r="AF56" s="1320"/>
      <c r="AG56" s="4"/>
      <c r="AH56" s="230"/>
      <c r="AI56" s="556"/>
      <c r="AJ56" s="557"/>
      <c r="AK56" s="556"/>
      <c r="AL56" s="556"/>
    </row>
    <row r="57" spans="3:38" ht="40.5" customHeight="1" x14ac:dyDescent="0.2">
      <c r="D57" s="15"/>
      <c r="E57" s="9"/>
      <c r="F57" s="16" t="s">
        <v>772</v>
      </c>
      <c r="G57" s="1333" t="s">
        <v>505</v>
      </c>
      <c r="H57" s="1333"/>
      <c r="I57" s="1333"/>
      <c r="J57" s="1333"/>
      <c r="K57" s="1333"/>
      <c r="L57" s="1333"/>
      <c r="M57" s="1333"/>
      <c r="N57" s="1333"/>
      <c r="O57" s="1333"/>
      <c r="P57" s="1333"/>
      <c r="Q57" s="1333"/>
      <c r="R57" s="1333"/>
      <c r="S57" s="1333"/>
      <c r="T57" s="1333"/>
      <c r="U57" s="1333"/>
      <c r="V57" s="1333"/>
      <c r="W57" s="1333"/>
      <c r="X57" s="1333"/>
      <c r="Y57" s="1333"/>
      <c r="Z57" s="1333"/>
      <c r="AA57" s="1333"/>
      <c r="AB57" s="1333"/>
      <c r="AC57" s="1333"/>
      <c r="AD57" s="1333"/>
      <c r="AE57" s="1333"/>
      <c r="AF57" s="143"/>
      <c r="AG57" s="4"/>
      <c r="AH57" s="230"/>
      <c r="AI57" s="556"/>
      <c r="AJ57" s="557"/>
      <c r="AK57" s="556"/>
      <c r="AL57" s="556"/>
    </row>
    <row r="58" spans="3:38" ht="12.75" customHeight="1" x14ac:dyDescent="0.2">
      <c r="D58" s="15"/>
      <c r="E58" s="9"/>
      <c r="F58" s="67" t="s">
        <v>6</v>
      </c>
      <c r="G58" s="1320" t="s">
        <v>9</v>
      </c>
      <c r="H58" s="1320"/>
      <c r="I58" s="1320"/>
      <c r="J58" s="1320"/>
      <c r="K58" s="1320"/>
      <c r="L58" s="1320"/>
      <c r="M58" s="1320"/>
      <c r="N58" s="1320"/>
      <c r="O58" s="1320"/>
      <c r="P58" s="1320"/>
      <c r="Q58" s="1320"/>
      <c r="R58" s="1320"/>
      <c r="S58" s="1320"/>
      <c r="T58" s="1320"/>
      <c r="U58" s="1320"/>
      <c r="V58" s="1320"/>
      <c r="W58" s="1320"/>
      <c r="X58" s="1320"/>
      <c r="Y58" s="1320"/>
      <c r="Z58" s="1320"/>
      <c r="AA58" s="1320"/>
      <c r="AB58" s="1320"/>
      <c r="AC58" s="1320"/>
      <c r="AD58" s="1320"/>
      <c r="AE58" s="1320"/>
      <c r="AF58" s="9"/>
      <c r="AG58" s="4"/>
      <c r="AH58" s="230"/>
      <c r="AI58" s="556"/>
      <c r="AJ58" s="557"/>
      <c r="AK58" s="556"/>
      <c r="AL58" s="556"/>
    </row>
    <row r="59" spans="3:38" ht="12.75" customHeight="1" x14ac:dyDescent="0.2">
      <c r="D59" s="15"/>
      <c r="E59" s="9"/>
      <c r="F59" s="67" t="s">
        <v>1068</v>
      </c>
      <c r="G59" s="1320" t="s">
        <v>10</v>
      </c>
      <c r="H59" s="1320"/>
      <c r="I59" s="1320"/>
      <c r="J59" s="1320"/>
      <c r="K59" s="1320"/>
      <c r="L59" s="1320"/>
      <c r="M59" s="1320"/>
      <c r="N59" s="1320"/>
      <c r="O59" s="1320"/>
      <c r="P59" s="1320"/>
      <c r="Q59" s="1320"/>
      <c r="R59" s="1320"/>
      <c r="S59" s="1320"/>
      <c r="T59" s="1320"/>
      <c r="U59" s="1320"/>
      <c r="V59" s="1320"/>
      <c r="W59" s="1320"/>
      <c r="X59" s="1320"/>
      <c r="Y59" s="1320"/>
      <c r="Z59" s="1320"/>
      <c r="AA59" s="1320"/>
      <c r="AB59" s="1320"/>
      <c r="AC59" s="1320"/>
      <c r="AD59" s="1320"/>
      <c r="AE59" s="1320"/>
      <c r="AF59" s="9"/>
      <c r="AG59" s="4"/>
      <c r="AH59" s="230"/>
      <c r="AI59" s="556"/>
      <c r="AJ59" s="557"/>
      <c r="AK59" s="556"/>
      <c r="AL59" s="556"/>
    </row>
    <row r="60" spans="3:38" ht="41.25" customHeight="1" x14ac:dyDescent="0.2">
      <c r="D60" s="15"/>
      <c r="E60" s="1331" t="s">
        <v>1007</v>
      </c>
      <c r="F60" s="1331"/>
      <c r="G60" s="1331"/>
      <c r="H60" s="1331"/>
      <c r="I60" s="1331"/>
      <c r="J60" s="1331"/>
      <c r="K60" s="1331"/>
      <c r="L60" s="1331"/>
      <c r="M60" s="1331"/>
      <c r="N60" s="1331"/>
      <c r="O60" s="1331"/>
      <c r="P60" s="1331"/>
      <c r="Q60" s="1331"/>
      <c r="R60" s="1331"/>
      <c r="S60" s="1331"/>
      <c r="T60" s="1331"/>
      <c r="U60" s="1331"/>
      <c r="V60" s="1331"/>
      <c r="W60" s="1331"/>
      <c r="X60" s="1331"/>
      <c r="Y60" s="1331"/>
      <c r="Z60" s="1331"/>
      <c r="AA60" s="1331"/>
      <c r="AB60" s="1331"/>
      <c r="AC60" s="1331"/>
      <c r="AD60" s="1331"/>
      <c r="AE60" s="1331"/>
      <c r="AF60" s="1331"/>
      <c r="AG60" s="4"/>
      <c r="AH60" s="230"/>
      <c r="AI60" s="556"/>
      <c r="AJ60" s="557"/>
      <c r="AK60" s="556"/>
      <c r="AL60" s="556"/>
    </row>
    <row r="61" spans="3:38" ht="29.25" customHeight="1" x14ac:dyDescent="0.2">
      <c r="D61" s="142" t="s">
        <v>13</v>
      </c>
      <c r="E61" s="1351" t="s">
        <v>1070</v>
      </c>
      <c r="F61" s="1351"/>
      <c r="G61" s="1351"/>
      <c r="H61" s="1351"/>
      <c r="I61" s="1351"/>
      <c r="J61" s="1351"/>
      <c r="K61" s="1351"/>
      <c r="L61" s="1351"/>
      <c r="M61" s="1351"/>
      <c r="N61" s="1351"/>
      <c r="O61" s="1351"/>
      <c r="P61" s="1351"/>
      <c r="Q61" s="1351"/>
      <c r="R61" s="1351"/>
      <c r="S61" s="1351"/>
      <c r="T61" s="1351"/>
      <c r="U61" s="1351"/>
      <c r="V61" s="1351"/>
      <c r="W61" s="1351"/>
      <c r="X61" s="1351"/>
      <c r="Y61" s="1351"/>
      <c r="Z61" s="1351"/>
      <c r="AA61" s="1351"/>
      <c r="AB61" s="1351"/>
      <c r="AC61" s="1351"/>
      <c r="AD61" s="1351"/>
      <c r="AE61" s="1351"/>
      <c r="AF61" s="1351"/>
      <c r="AG61" s="1351"/>
      <c r="AH61" s="230"/>
      <c r="AI61" s="556"/>
      <c r="AJ61" s="557"/>
      <c r="AK61" s="556"/>
      <c r="AL61" s="556"/>
    </row>
    <row r="62" spans="3:38" ht="14.25" customHeight="1" x14ac:dyDescent="0.2">
      <c r="D62" s="142" t="s">
        <v>14</v>
      </c>
      <c r="E62" s="1321" t="s">
        <v>1072</v>
      </c>
      <c r="F62" s="1321"/>
      <c r="G62" s="1321"/>
      <c r="H62" s="1321"/>
      <c r="I62" s="1321"/>
      <c r="J62" s="1321"/>
      <c r="K62" s="1321"/>
      <c r="L62" s="1321"/>
      <c r="M62" s="1321"/>
      <c r="N62" s="1321"/>
      <c r="O62" s="1321"/>
      <c r="P62" s="1321"/>
      <c r="Q62" s="1321"/>
      <c r="R62" s="1321"/>
      <c r="S62" s="1321"/>
      <c r="T62" s="1321"/>
      <c r="U62" s="1321"/>
      <c r="V62" s="1321"/>
      <c r="W62" s="1321"/>
      <c r="X62" s="1321"/>
      <c r="Y62" s="1321"/>
      <c r="Z62" s="1321"/>
      <c r="AA62" s="1321"/>
      <c r="AB62" s="1321"/>
      <c r="AC62" s="1321"/>
      <c r="AD62" s="1321"/>
      <c r="AE62" s="1321"/>
      <c r="AF62" s="1321"/>
      <c r="AG62" s="1321"/>
      <c r="AH62" s="230"/>
      <c r="AI62" s="556"/>
      <c r="AJ62" s="557"/>
      <c r="AK62" s="556"/>
      <c r="AL62" s="556"/>
    </row>
    <row r="63" spans="3:38" ht="27" customHeight="1" x14ac:dyDescent="0.2">
      <c r="D63" s="142"/>
      <c r="E63" s="16"/>
      <c r="F63" s="16" t="s">
        <v>765</v>
      </c>
      <c r="G63" s="1321" t="s">
        <v>1071</v>
      </c>
      <c r="H63" s="1321"/>
      <c r="I63" s="1321"/>
      <c r="J63" s="1321"/>
      <c r="K63" s="1321"/>
      <c r="L63" s="1321"/>
      <c r="M63" s="1321"/>
      <c r="N63" s="1321"/>
      <c r="O63" s="1321"/>
      <c r="P63" s="1321"/>
      <c r="Q63" s="1321"/>
      <c r="R63" s="1321"/>
      <c r="S63" s="1321"/>
      <c r="T63" s="1321"/>
      <c r="U63" s="1321"/>
      <c r="V63" s="1321"/>
      <c r="W63" s="1321"/>
      <c r="X63" s="1321"/>
      <c r="Y63" s="1321"/>
      <c r="Z63" s="1321"/>
      <c r="AA63" s="1321"/>
      <c r="AB63" s="1321"/>
      <c r="AC63" s="1321"/>
      <c r="AD63" s="1321"/>
      <c r="AE63" s="1321"/>
      <c r="AF63" s="1321"/>
      <c r="AG63" s="1321"/>
      <c r="AH63" s="230"/>
      <c r="AI63" s="556"/>
      <c r="AJ63" s="557"/>
      <c r="AK63" s="556"/>
      <c r="AL63" s="556"/>
    </row>
    <row r="64" spans="3:38" ht="26.45" customHeight="1" x14ac:dyDescent="0.2">
      <c r="D64" s="142"/>
      <c r="E64" s="16"/>
      <c r="F64" s="16" t="s">
        <v>768</v>
      </c>
      <c r="G64" s="1340" t="s">
        <v>1073</v>
      </c>
      <c r="H64" s="1321"/>
      <c r="I64" s="1321"/>
      <c r="J64" s="1321"/>
      <c r="K64" s="1321"/>
      <c r="L64" s="1321"/>
      <c r="M64" s="1321"/>
      <c r="N64" s="1321"/>
      <c r="O64" s="1321"/>
      <c r="P64" s="1321"/>
      <c r="Q64" s="1321"/>
      <c r="R64" s="1321"/>
      <c r="S64" s="1321"/>
      <c r="T64" s="1321"/>
      <c r="U64" s="1321"/>
      <c r="V64" s="1321"/>
      <c r="W64" s="1321"/>
      <c r="X64" s="1321"/>
      <c r="Y64" s="1321"/>
      <c r="Z64" s="1321"/>
      <c r="AA64" s="1321"/>
      <c r="AB64" s="1321"/>
      <c r="AC64" s="1321"/>
      <c r="AD64" s="1321"/>
      <c r="AE64" s="1321"/>
      <c r="AF64" s="1321"/>
      <c r="AG64" s="1321"/>
      <c r="AH64" s="230"/>
      <c r="AI64" s="556"/>
      <c r="AJ64" s="557"/>
      <c r="AK64" s="556"/>
      <c r="AL64" s="556"/>
    </row>
    <row r="65" spans="3:38" ht="24.75" customHeight="1" x14ac:dyDescent="0.2">
      <c r="D65" s="142" t="s">
        <v>15</v>
      </c>
      <c r="E65" s="887" t="s">
        <v>757</v>
      </c>
      <c r="F65" s="887"/>
      <c r="G65" s="887"/>
      <c r="H65" s="887"/>
      <c r="I65" s="887"/>
      <c r="J65" s="887"/>
      <c r="K65" s="887"/>
      <c r="L65" s="887"/>
      <c r="M65" s="887"/>
      <c r="N65" s="887"/>
      <c r="O65" s="887"/>
      <c r="P65" s="887"/>
      <c r="Q65" s="887"/>
      <c r="R65" s="887"/>
      <c r="S65" s="887"/>
      <c r="T65" s="887"/>
      <c r="U65" s="887"/>
      <c r="V65" s="887"/>
      <c r="W65" s="887"/>
      <c r="X65" s="887"/>
      <c r="Y65" s="887"/>
      <c r="Z65" s="887"/>
      <c r="AA65" s="887"/>
      <c r="AB65" s="887"/>
      <c r="AC65" s="887"/>
      <c r="AD65" s="887"/>
      <c r="AE65" s="887"/>
      <c r="AF65" s="887"/>
      <c r="AG65" s="887"/>
      <c r="AH65" s="230"/>
      <c r="AI65" s="556"/>
      <c r="AJ65" s="557"/>
      <c r="AK65" s="556"/>
      <c r="AL65" s="556"/>
    </row>
    <row r="66" spans="3:38" ht="26.25" customHeight="1" x14ac:dyDescent="0.2">
      <c r="D66" s="142" t="s">
        <v>16</v>
      </c>
      <c r="E66" s="887" t="s">
        <v>577</v>
      </c>
      <c r="F66" s="887"/>
      <c r="G66" s="887"/>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230"/>
      <c r="AI66" s="556"/>
      <c r="AK66" s="556"/>
      <c r="AL66" s="556"/>
    </row>
    <row r="67" spans="3:38" ht="39" customHeight="1" x14ac:dyDescent="0.2">
      <c r="D67" s="142" t="s">
        <v>17</v>
      </c>
      <c r="E67" s="886" t="s">
        <v>1106</v>
      </c>
      <c r="F67" s="887"/>
      <c r="G67" s="887"/>
      <c r="H67" s="887"/>
      <c r="I67" s="887"/>
      <c r="J67" s="887"/>
      <c r="K67" s="887"/>
      <c r="L67" s="887"/>
      <c r="M67" s="887"/>
      <c r="N67" s="887"/>
      <c r="O67" s="887"/>
      <c r="P67" s="887"/>
      <c r="Q67" s="887"/>
      <c r="R67" s="887"/>
      <c r="S67" s="887"/>
      <c r="T67" s="887"/>
      <c r="U67" s="887"/>
      <c r="V67" s="887"/>
      <c r="W67" s="887"/>
      <c r="X67" s="887"/>
      <c r="Y67" s="887"/>
      <c r="Z67" s="887"/>
      <c r="AA67" s="887"/>
      <c r="AB67" s="887"/>
      <c r="AC67" s="887"/>
      <c r="AD67" s="887"/>
      <c r="AE67" s="887"/>
      <c r="AF67" s="887"/>
      <c r="AG67" s="887"/>
      <c r="AH67" s="230"/>
      <c r="AI67" s="556"/>
      <c r="AJ67" s="557"/>
      <c r="AK67" s="556"/>
      <c r="AL67" s="556"/>
    </row>
    <row r="68" spans="3:38" ht="13.5" customHeight="1" x14ac:dyDescent="0.2">
      <c r="D68" s="142" t="s">
        <v>1067</v>
      </c>
      <c r="E68" s="1347" t="s">
        <v>763</v>
      </c>
      <c r="F68" s="1347"/>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230"/>
      <c r="AI68" s="556"/>
      <c r="AJ68" s="557"/>
      <c r="AK68" s="556"/>
      <c r="AL68" s="556"/>
    </row>
    <row r="69" spans="3:38" ht="11.25" customHeight="1" x14ac:dyDescent="0.2">
      <c r="D69" s="17"/>
      <c r="E69" s="17"/>
      <c r="F69" s="18" t="s">
        <v>765</v>
      </c>
      <c r="G69" s="887" t="s">
        <v>766</v>
      </c>
      <c r="H69" s="887"/>
      <c r="I69" s="887"/>
      <c r="J69" s="887"/>
      <c r="K69" s="887"/>
      <c r="L69" s="887"/>
      <c r="M69" s="887"/>
      <c r="N69" s="887"/>
      <c r="O69" s="887"/>
      <c r="P69" s="887"/>
      <c r="Q69" s="887"/>
      <c r="R69" s="887"/>
      <c r="S69" s="887"/>
      <c r="T69" s="887"/>
      <c r="U69" s="887"/>
      <c r="V69" s="887"/>
      <c r="W69" s="887"/>
      <c r="X69" s="887"/>
      <c r="Y69" s="887"/>
      <c r="Z69" s="887"/>
      <c r="AA69" s="887"/>
      <c r="AB69" s="887"/>
      <c r="AC69" s="887"/>
      <c r="AD69" s="887"/>
      <c r="AE69" s="887"/>
      <c r="AF69" s="887"/>
      <c r="AG69" s="887"/>
      <c r="AH69" s="230"/>
      <c r="AI69" s="556"/>
      <c r="AJ69" s="557"/>
      <c r="AK69" s="556"/>
      <c r="AL69" s="556"/>
    </row>
    <row r="70" spans="3:38" ht="11.25" customHeight="1" x14ac:dyDescent="0.2">
      <c r="D70" s="17"/>
      <c r="E70" s="17"/>
      <c r="F70" s="18" t="s">
        <v>768</v>
      </c>
      <c r="G70" s="887" t="s">
        <v>1094</v>
      </c>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231"/>
      <c r="AI70" s="556"/>
      <c r="AJ70" s="557"/>
      <c r="AK70" s="556"/>
      <c r="AL70" s="556"/>
    </row>
    <row r="71" spans="3:38" ht="24.75" customHeight="1" x14ac:dyDescent="0.2">
      <c r="D71" s="17"/>
      <c r="E71" s="17"/>
      <c r="F71" s="16" t="s">
        <v>770</v>
      </c>
      <c r="G71" s="1321" t="s">
        <v>1093</v>
      </c>
      <c r="H71" s="1321"/>
      <c r="I71" s="1321"/>
      <c r="J71" s="1321"/>
      <c r="K71" s="1321"/>
      <c r="L71" s="1321"/>
      <c r="M71" s="1321"/>
      <c r="N71" s="1321"/>
      <c r="O71" s="1321"/>
      <c r="P71" s="1321"/>
      <c r="Q71" s="1321"/>
      <c r="R71" s="1321"/>
      <c r="S71" s="1321"/>
      <c r="T71" s="1321"/>
      <c r="U71" s="1321"/>
      <c r="V71" s="1321"/>
      <c r="W71" s="1321"/>
      <c r="X71" s="1321"/>
      <c r="Y71" s="1321"/>
      <c r="Z71" s="1321"/>
      <c r="AA71" s="1321"/>
      <c r="AB71" s="1321"/>
      <c r="AC71" s="1321"/>
      <c r="AD71" s="1321"/>
      <c r="AE71" s="1321"/>
      <c r="AF71" s="1321"/>
      <c r="AG71" s="1321"/>
      <c r="AH71" s="176"/>
      <c r="AI71" s="556"/>
      <c r="AJ71" s="557"/>
      <c r="AK71" s="556"/>
      <c r="AL71" s="556"/>
    </row>
    <row r="72" spans="3:38" ht="15.75" customHeight="1" x14ac:dyDescent="0.2">
      <c r="C72" s="13"/>
      <c r="D72" s="17"/>
      <c r="E72" s="1321" t="s">
        <v>1074</v>
      </c>
      <c r="F72" s="1321"/>
      <c r="G72" s="1321"/>
      <c r="H72" s="1321"/>
      <c r="I72" s="1321"/>
      <c r="J72" s="1321"/>
      <c r="K72" s="1321"/>
      <c r="L72" s="1321"/>
      <c r="M72" s="1321"/>
      <c r="N72" s="1321"/>
      <c r="O72" s="1321"/>
      <c r="P72" s="1321"/>
      <c r="Q72" s="1321"/>
      <c r="R72" s="1321"/>
      <c r="S72" s="1321"/>
      <c r="T72" s="1321"/>
      <c r="U72" s="1321"/>
      <c r="V72" s="1321"/>
      <c r="W72" s="1321"/>
      <c r="X72" s="1321"/>
      <c r="Y72" s="1321"/>
      <c r="Z72" s="1321"/>
      <c r="AA72" s="1321"/>
      <c r="AB72" s="1321"/>
      <c r="AC72" s="1321"/>
      <c r="AD72" s="1321"/>
      <c r="AE72" s="1321"/>
      <c r="AF72" s="1321"/>
      <c r="AG72" s="1321"/>
      <c r="AH72" s="176"/>
      <c r="AI72" s="556"/>
      <c r="AJ72" s="557"/>
      <c r="AK72" s="556"/>
      <c r="AL72" s="556"/>
    </row>
    <row r="73" spans="3:38" ht="50.25" customHeight="1" x14ac:dyDescent="0.2">
      <c r="C73" s="13"/>
      <c r="D73" s="142" t="s">
        <v>1092</v>
      </c>
      <c r="E73" s="1333" t="s">
        <v>1095</v>
      </c>
      <c r="F73" s="1333"/>
      <c r="G73" s="1333"/>
      <c r="H73" s="1333"/>
      <c r="I73" s="1333"/>
      <c r="J73" s="1333"/>
      <c r="K73" s="1333"/>
      <c r="L73" s="1333"/>
      <c r="M73" s="1333"/>
      <c r="N73" s="1333"/>
      <c r="O73" s="1333"/>
      <c r="P73" s="1333"/>
      <c r="Q73" s="1333"/>
      <c r="R73" s="1333"/>
      <c r="S73" s="1333"/>
      <c r="T73" s="1333"/>
      <c r="U73" s="1333"/>
      <c r="V73" s="1333"/>
      <c r="W73" s="1333"/>
      <c r="X73" s="1333"/>
      <c r="Y73" s="1333"/>
      <c r="Z73" s="1333"/>
      <c r="AA73" s="1333"/>
      <c r="AB73" s="1333"/>
      <c r="AC73" s="1333"/>
      <c r="AD73" s="1333"/>
      <c r="AE73" s="1333"/>
      <c r="AF73" s="1333"/>
      <c r="AG73" s="1333"/>
      <c r="AH73" s="176"/>
      <c r="AI73" s="556"/>
      <c r="AJ73" s="557"/>
      <c r="AK73" s="556"/>
      <c r="AL73" s="556"/>
    </row>
    <row r="74" spans="3:38" ht="19.5" customHeight="1" x14ac:dyDescent="0.2">
      <c r="AH74" s="176"/>
      <c r="AI74" s="556"/>
      <c r="AJ74" s="557"/>
      <c r="AK74" s="556"/>
      <c r="AL74" s="556"/>
    </row>
    <row r="75" spans="3:38" ht="12.75" customHeight="1" x14ac:dyDescent="0.2">
      <c r="C75" s="1341" t="s">
        <v>710</v>
      </c>
      <c r="D75" s="1342"/>
      <c r="E75" s="1342"/>
      <c r="F75" s="1342"/>
      <c r="G75" s="1342"/>
      <c r="H75" s="1342"/>
      <c r="I75" s="1342"/>
      <c r="J75" s="1342"/>
      <c r="K75" s="1342"/>
      <c r="L75" s="1342"/>
      <c r="M75" s="1342"/>
      <c r="N75" s="1343"/>
      <c r="O75" s="1334"/>
      <c r="P75" s="1335"/>
      <c r="Q75" s="1335"/>
      <c r="R75" s="1335"/>
      <c r="S75" s="1335"/>
      <c r="T75" s="1335"/>
      <c r="U75" s="1335"/>
      <c r="V75" s="1335"/>
      <c r="W75" s="1335"/>
      <c r="X75" s="1335"/>
      <c r="Y75" s="1335"/>
      <c r="Z75" s="1335"/>
      <c r="AA75" s="1335"/>
      <c r="AB75" s="1335"/>
      <c r="AC75" s="1335"/>
      <c r="AD75" s="1335"/>
      <c r="AE75" s="1335"/>
      <c r="AF75" s="1335"/>
      <c r="AG75" s="1336"/>
      <c r="AH75" s="232"/>
      <c r="AI75" s="556"/>
      <c r="AJ75" s="557">
        <f>IF(COUNTA(O75:AG78,O80)&lt;4,0,1)</f>
        <v>0</v>
      </c>
      <c r="AK75" s="556">
        <f>IF(AF125="X", IF(AJ75=0,1,2),0)</f>
        <v>0</v>
      </c>
      <c r="AL75" s="556"/>
    </row>
    <row r="76" spans="3:38" ht="12.75" customHeight="1" x14ac:dyDescent="0.2">
      <c r="C76" s="1267" t="s">
        <v>778</v>
      </c>
      <c r="D76" s="1268"/>
      <c r="E76" s="1268"/>
      <c r="F76" s="1268"/>
      <c r="G76" s="1268"/>
      <c r="H76" s="1268"/>
      <c r="I76" s="1268"/>
      <c r="J76" s="1268"/>
      <c r="K76" s="1268"/>
      <c r="L76" s="1268"/>
      <c r="M76" s="1268"/>
      <c r="N76" s="1269"/>
      <c r="O76" s="1337"/>
      <c r="P76" s="1338"/>
      <c r="Q76" s="1338"/>
      <c r="R76" s="1338"/>
      <c r="S76" s="1338"/>
      <c r="T76" s="1338"/>
      <c r="U76" s="1338"/>
      <c r="V76" s="1338"/>
      <c r="W76" s="1338"/>
      <c r="X76" s="1338"/>
      <c r="Y76" s="1338"/>
      <c r="Z76" s="1338"/>
      <c r="AA76" s="1338"/>
      <c r="AB76" s="1338"/>
      <c r="AC76" s="1338"/>
      <c r="AD76" s="1338"/>
      <c r="AE76" s="1338"/>
      <c r="AF76" s="1338"/>
      <c r="AG76" s="1339"/>
      <c r="AH76" s="232"/>
      <c r="AI76" s="556"/>
      <c r="AJ76" s="557"/>
      <c r="AK76" s="556"/>
      <c r="AL76" s="556"/>
    </row>
    <row r="77" spans="3:38" ht="21.75" customHeight="1" x14ac:dyDescent="0.2">
      <c r="C77" s="1270" t="s">
        <v>22</v>
      </c>
      <c r="D77" s="1271"/>
      <c r="E77" s="1271"/>
      <c r="F77" s="1271"/>
      <c r="G77" s="1271"/>
      <c r="H77" s="1271"/>
      <c r="I77" s="1271"/>
      <c r="J77" s="1271"/>
      <c r="K77" s="1271"/>
      <c r="L77" s="1271"/>
      <c r="M77" s="1271"/>
      <c r="N77" s="1272"/>
      <c r="O77" s="1348"/>
      <c r="P77" s="1349"/>
      <c r="Q77" s="1349"/>
      <c r="R77" s="1349"/>
      <c r="S77" s="1349"/>
      <c r="T77" s="1349"/>
      <c r="U77" s="1349"/>
      <c r="V77" s="1349"/>
      <c r="W77" s="1349"/>
      <c r="X77" s="1349"/>
      <c r="Y77" s="1349"/>
      <c r="Z77" s="1349"/>
      <c r="AA77" s="1349"/>
      <c r="AB77" s="1349"/>
      <c r="AC77" s="1349"/>
      <c r="AD77" s="1349"/>
      <c r="AE77" s="1349"/>
      <c r="AF77" s="1349"/>
      <c r="AG77" s="1350"/>
      <c r="AH77" s="232"/>
      <c r="AI77" s="556"/>
      <c r="AJ77" s="557"/>
      <c r="AK77" s="556"/>
      <c r="AL77" s="556"/>
    </row>
    <row r="78" spans="3:38" ht="21" customHeight="1" x14ac:dyDescent="0.2">
      <c r="C78" s="1270" t="s">
        <v>23</v>
      </c>
      <c r="D78" s="1271"/>
      <c r="E78" s="1271"/>
      <c r="F78" s="1271"/>
      <c r="G78" s="1271"/>
      <c r="H78" s="1271"/>
      <c r="I78" s="1271"/>
      <c r="J78" s="1271"/>
      <c r="K78" s="1271"/>
      <c r="L78" s="1271"/>
      <c r="M78" s="1271"/>
      <c r="N78" s="1272"/>
      <c r="O78" s="1348"/>
      <c r="P78" s="1349"/>
      <c r="Q78" s="1349"/>
      <c r="R78" s="1349"/>
      <c r="S78" s="1349"/>
      <c r="T78" s="1349"/>
      <c r="U78" s="1349"/>
      <c r="V78" s="1349"/>
      <c r="W78" s="1349"/>
      <c r="X78" s="1349"/>
      <c r="Y78" s="1349"/>
      <c r="Z78" s="1349"/>
      <c r="AA78" s="1349"/>
      <c r="AB78" s="1349"/>
      <c r="AC78" s="1349"/>
      <c r="AD78" s="1349"/>
      <c r="AE78" s="1349"/>
      <c r="AF78" s="1349"/>
      <c r="AG78" s="1350"/>
      <c r="AH78" s="232"/>
      <c r="AI78" s="556"/>
      <c r="AJ78" s="557"/>
      <c r="AK78" s="556"/>
      <c r="AL78" s="556"/>
    </row>
    <row r="79" spans="3:38" ht="50.25" customHeight="1" x14ac:dyDescent="0.2">
      <c r="C79" s="1344" t="s">
        <v>782</v>
      </c>
      <c r="D79" s="1345"/>
      <c r="E79" s="1345"/>
      <c r="F79" s="1345"/>
      <c r="G79" s="1345"/>
      <c r="H79" s="1345"/>
      <c r="I79" s="1345"/>
      <c r="J79" s="1345"/>
      <c r="K79" s="1345"/>
      <c r="L79" s="1345"/>
      <c r="M79" s="1345"/>
      <c r="N79" s="1346"/>
      <c r="O79" s="1355"/>
      <c r="P79" s="1356"/>
      <c r="Q79" s="1356"/>
      <c r="R79" s="1356"/>
      <c r="S79" s="1356"/>
      <c r="T79" s="1356"/>
      <c r="U79" s="1356"/>
      <c r="V79" s="1356"/>
      <c r="W79" s="1356"/>
      <c r="X79" s="1356"/>
      <c r="Y79" s="1356"/>
      <c r="Z79" s="1356"/>
      <c r="AA79" s="1356"/>
      <c r="AB79" s="1356"/>
      <c r="AC79" s="1356"/>
      <c r="AD79" s="1356"/>
      <c r="AE79" s="1356"/>
      <c r="AF79" s="1356"/>
      <c r="AG79" s="1357"/>
      <c r="AH79" s="232"/>
      <c r="AI79" s="556"/>
      <c r="AJ79" s="557"/>
      <c r="AK79" s="556"/>
      <c r="AL79" s="556"/>
    </row>
    <row r="80" spans="3:38" ht="19.5" customHeight="1" x14ac:dyDescent="0.2">
      <c r="C80" s="1374" t="s">
        <v>506</v>
      </c>
      <c r="D80" s="1375"/>
      <c r="E80" s="1375"/>
      <c r="F80" s="1375"/>
      <c r="G80" s="1375"/>
      <c r="H80" s="1375"/>
      <c r="I80" s="1375"/>
      <c r="J80" s="1375"/>
      <c r="K80" s="1375"/>
      <c r="L80" s="1375"/>
      <c r="M80" s="1375"/>
      <c r="N80" s="1376"/>
      <c r="O80" s="1102"/>
      <c r="P80" s="1103"/>
      <c r="Q80" s="1103"/>
      <c r="R80" s="1103"/>
      <c r="S80" s="1103"/>
      <c r="T80" s="1103"/>
      <c r="U80" s="1104"/>
      <c r="V80" s="19"/>
      <c r="W80" s="19"/>
      <c r="X80" s="19"/>
      <c r="Y80" s="19"/>
      <c r="Z80" s="19"/>
      <c r="AA80" s="20"/>
      <c r="AB80" s="21"/>
      <c r="AC80" s="21"/>
      <c r="AD80" s="21"/>
      <c r="AE80" s="21"/>
      <c r="AH80" s="176"/>
      <c r="AI80" s="556"/>
      <c r="AJ80" s="557"/>
      <c r="AK80" s="556"/>
      <c r="AL80" s="556"/>
    </row>
    <row r="81" spans="1:38" ht="23.25" customHeight="1" x14ac:dyDescent="0.2">
      <c r="C81" s="22"/>
      <c r="D81" s="214"/>
      <c r="E81" s="214"/>
      <c r="AH81" s="176"/>
      <c r="AI81" s="556"/>
      <c r="AJ81" s="557"/>
      <c r="AK81" s="556"/>
      <c r="AL81" s="556"/>
    </row>
    <row r="82" spans="1:38" ht="26.25" customHeight="1" x14ac:dyDescent="0.2">
      <c r="C82" s="10" t="s">
        <v>1078</v>
      </c>
      <c r="AH82" s="305" t="s">
        <v>804</v>
      </c>
      <c r="AI82" s="556"/>
      <c r="AJ82" s="557"/>
      <c r="AK82" s="556"/>
      <c r="AL82" s="556"/>
    </row>
    <row r="83" spans="1:38" ht="17.25" customHeight="1" x14ac:dyDescent="0.2">
      <c r="C83" s="871" t="s">
        <v>710</v>
      </c>
      <c r="D83" s="872"/>
      <c r="E83" s="872"/>
      <c r="F83" s="872"/>
      <c r="G83" s="872"/>
      <c r="H83" s="872"/>
      <c r="I83" s="872"/>
      <c r="J83" s="872"/>
      <c r="K83" s="872"/>
      <c r="L83" s="872"/>
      <c r="M83" s="872"/>
      <c r="N83" s="873"/>
      <c r="O83" s="787"/>
      <c r="P83" s="788"/>
      <c r="Q83" s="788"/>
      <c r="R83" s="788"/>
      <c r="S83" s="788"/>
      <c r="T83" s="788"/>
      <c r="U83" s="788"/>
      <c r="V83" s="788"/>
      <c r="W83" s="788"/>
      <c r="X83" s="788"/>
      <c r="Y83" s="788"/>
      <c r="Z83" s="788"/>
      <c r="AA83" s="788"/>
      <c r="AB83" s="788"/>
      <c r="AC83" s="788"/>
      <c r="AD83" s="788"/>
      <c r="AE83" s="788"/>
      <c r="AF83" s="788"/>
      <c r="AG83" s="789"/>
      <c r="AH83" s="176"/>
      <c r="AI83" s="556"/>
      <c r="AJ83" s="557"/>
      <c r="AK83" s="556"/>
      <c r="AL83" s="556"/>
    </row>
    <row r="84" spans="1:38" ht="17.25" customHeight="1" x14ac:dyDescent="0.2">
      <c r="C84" s="173"/>
      <c r="D84" s="163"/>
      <c r="E84" s="163"/>
      <c r="F84" s="163"/>
      <c r="G84" s="163"/>
      <c r="H84" s="163"/>
      <c r="I84" s="163"/>
      <c r="J84" s="163"/>
      <c r="K84" s="163"/>
      <c r="L84" s="163"/>
      <c r="M84" s="163"/>
      <c r="N84" s="174" t="s">
        <v>1001</v>
      </c>
      <c r="O84" s="805"/>
      <c r="P84" s="806"/>
      <c r="Q84" s="807"/>
      <c r="R84" s="787"/>
      <c r="S84" s="788"/>
      <c r="T84" s="788"/>
      <c r="U84" s="788"/>
      <c r="V84" s="788"/>
      <c r="W84" s="788"/>
      <c r="X84" s="788"/>
      <c r="Y84" s="788"/>
      <c r="Z84" s="789"/>
      <c r="AA84" s="787"/>
      <c r="AB84" s="788"/>
      <c r="AC84" s="788"/>
      <c r="AD84" s="788"/>
      <c r="AE84" s="788"/>
      <c r="AF84" s="788"/>
      <c r="AG84" s="789"/>
      <c r="AH84" s="176"/>
      <c r="AI84" s="556"/>
      <c r="AJ84" s="557"/>
      <c r="AK84" s="556"/>
      <c r="AL84" s="556"/>
    </row>
    <row r="85" spans="1:38" ht="17.25" customHeight="1" x14ac:dyDescent="0.2">
      <c r="C85" s="162"/>
      <c r="D85" s="163"/>
      <c r="E85" s="163"/>
      <c r="F85" s="163"/>
      <c r="G85" s="163"/>
      <c r="H85" s="163"/>
      <c r="I85" s="163"/>
      <c r="J85" s="163"/>
      <c r="K85" s="163"/>
      <c r="L85" s="163"/>
      <c r="M85" s="163"/>
      <c r="N85" s="174" t="s">
        <v>1002</v>
      </c>
      <c r="O85" s="787"/>
      <c r="P85" s="788"/>
      <c r="Q85" s="788"/>
      <c r="R85" s="788"/>
      <c r="S85" s="788"/>
      <c r="T85" s="788"/>
      <c r="U85" s="788"/>
      <c r="V85" s="789"/>
      <c r="W85" s="863"/>
      <c r="X85" s="864"/>
      <c r="Y85" s="864"/>
      <c r="Z85" s="864"/>
      <c r="AA85" s="864"/>
      <c r="AB85" s="864"/>
      <c r="AC85" s="864"/>
      <c r="AD85" s="882"/>
      <c r="AE85" s="805"/>
      <c r="AF85" s="806"/>
      <c r="AG85" s="807"/>
      <c r="AH85" s="176"/>
      <c r="AI85" s="556"/>
      <c r="AJ85" s="557"/>
      <c r="AK85" s="556"/>
      <c r="AL85" s="556"/>
    </row>
    <row r="86" spans="1:38" ht="18.75" customHeight="1" x14ac:dyDescent="0.2">
      <c r="C86" s="871" t="s">
        <v>1079</v>
      </c>
      <c r="D86" s="872"/>
      <c r="E86" s="872"/>
      <c r="F86" s="872"/>
      <c r="G86" s="872"/>
      <c r="H86" s="872"/>
      <c r="I86" s="872"/>
      <c r="J86" s="872"/>
      <c r="K86" s="872"/>
      <c r="L86" s="872"/>
      <c r="M86" s="872"/>
      <c r="N86" s="873"/>
      <c r="O86" s="787"/>
      <c r="P86" s="788"/>
      <c r="Q86" s="788"/>
      <c r="R86" s="788"/>
      <c r="S86" s="788"/>
      <c r="T86" s="788"/>
      <c r="U86" s="788"/>
      <c r="V86" s="788"/>
      <c r="W86" s="788"/>
      <c r="X86" s="788"/>
      <c r="Y86" s="788"/>
      <c r="Z86" s="788"/>
      <c r="AA86" s="788"/>
      <c r="AB86" s="788"/>
      <c r="AC86" s="788"/>
      <c r="AD86" s="788"/>
      <c r="AE86" s="788"/>
      <c r="AF86" s="788"/>
      <c r="AG86" s="789"/>
      <c r="AH86" s="176"/>
      <c r="AI86" s="556"/>
      <c r="AJ86" s="557"/>
      <c r="AK86" s="556"/>
      <c r="AL86" s="556"/>
    </row>
    <row r="87" spans="1:38" ht="3.75" customHeight="1" x14ac:dyDescent="0.2">
      <c r="A87" s="561"/>
      <c r="B87" s="336"/>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33"/>
      <c r="AI87" s="556"/>
      <c r="AJ87" s="557"/>
      <c r="AK87" s="556"/>
      <c r="AL87" s="556"/>
    </row>
    <row r="88" spans="1:38" ht="18.75" customHeight="1" x14ac:dyDescent="0.2">
      <c r="C88" s="871" t="s">
        <v>699</v>
      </c>
      <c r="D88" s="872"/>
      <c r="E88" s="872"/>
      <c r="F88" s="872"/>
      <c r="G88" s="872"/>
      <c r="H88" s="872"/>
      <c r="I88" s="872"/>
      <c r="J88" s="872"/>
      <c r="K88" s="872"/>
      <c r="L88" s="872"/>
      <c r="M88" s="872"/>
      <c r="N88" s="873"/>
      <c r="O88" s="1278"/>
      <c r="P88" s="1279"/>
      <c r="Q88" s="1279"/>
      <c r="R88" s="1279"/>
      <c r="S88" s="1279"/>
      <c r="T88" s="1279"/>
      <c r="U88" s="1279"/>
      <c r="V88" s="1279"/>
      <c r="W88" s="1279"/>
      <c r="X88" s="1279"/>
      <c r="Y88" s="1279"/>
      <c r="Z88" s="1279"/>
      <c r="AA88" s="1279"/>
      <c r="AB88" s="1279"/>
      <c r="AC88" s="1279"/>
      <c r="AD88" s="1279"/>
      <c r="AE88" s="1279"/>
      <c r="AF88" s="1279"/>
      <c r="AG88" s="1280"/>
      <c r="AH88" s="176"/>
      <c r="AI88" s="556"/>
      <c r="AJ88" s="557"/>
      <c r="AK88" s="556"/>
      <c r="AL88" s="556"/>
    </row>
    <row r="89" spans="1:38" ht="18.75" customHeight="1" x14ac:dyDescent="0.2">
      <c r="C89" s="871" t="s">
        <v>700</v>
      </c>
      <c r="D89" s="872"/>
      <c r="E89" s="872"/>
      <c r="F89" s="872"/>
      <c r="G89" s="872"/>
      <c r="H89" s="872"/>
      <c r="I89" s="872"/>
      <c r="J89" s="872"/>
      <c r="K89" s="872"/>
      <c r="L89" s="872"/>
      <c r="M89" s="872"/>
      <c r="N89" s="873"/>
      <c r="O89" s="1278"/>
      <c r="P89" s="1279"/>
      <c r="Q89" s="1279"/>
      <c r="R89" s="1279"/>
      <c r="S89" s="1279"/>
      <c r="T89" s="1279"/>
      <c r="U89" s="1279"/>
      <c r="V89" s="1279"/>
      <c r="W89" s="1279"/>
      <c r="X89" s="1279"/>
      <c r="Y89" s="1279"/>
      <c r="Z89" s="1279"/>
      <c r="AA89" s="1279"/>
      <c r="AB89" s="1279"/>
      <c r="AC89" s="1279"/>
      <c r="AD89" s="1279"/>
      <c r="AE89" s="1279"/>
      <c r="AF89" s="1279"/>
      <c r="AG89" s="1280"/>
      <c r="AH89" s="176"/>
      <c r="AI89" s="556"/>
      <c r="AJ89" s="557"/>
      <c r="AK89" s="556"/>
      <c r="AL89" s="556"/>
    </row>
    <row r="90" spans="1:38" ht="6.75" customHeight="1" x14ac:dyDescent="0.2">
      <c r="A90" s="561"/>
      <c r="B90" s="336"/>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33"/>
      <c r="AI90" s="556"/>
      <c r="AJ90" s="557"/>
      <c r="AK90" s="556"/>
      <c r="AL90" s="556"/>
    </row>
    <row r="91" spans="1:38" ht="22.5" customHeight="1" x14ac:dyDescent="0.25">
      <c r="C91" s="1358" t="s">
        <v>787</v>
      </c>
      <c r="D91" s="1359"/>
      <c r="E91" s="1359"/>
      <c r="F91" s="1359"/>
      <c r="G91" s="1359"/>
      <c r="H91" s="1359"/>
      <c r="I91" s="1359"/>
      <c r="J91" s="1359"/>
      <c r="K91" s="1359"/>
      <c r="L91" s="1359"/>
      <c r="M91" s="1359"/>
      <c r="N91" s="1359"/>
      <c r="O91" s="1359"/>
      <c r="P91" s="1359"/>
      <c r="Q91" s="1359"/>
      <c r="R91" s="1359"/>
      <c r="S91" s="1359"/>
      <c r="T91" s="1359"/>
      <c r="U91" s="1359"/>
      <c r="V91" s="1359"/>
      <c r="W91" s="1359"/>
      <c r="X91" s="1359"/>
      <c r="Y91" s="1359"/>
      <c r="Z91" s="1359"/>
      <c r="AA91" s="1359"/>
      <c r="AB91" s="1359"/>
      <c r="AC91" s="1359"/>
      <c r="AD91" s="1359"/>
      <c r="AE91" s="1359"/>
      <c r="AF91" s="1359"/>
      <c r="AG91" s="1360"/>
      <c r="AH91" s="176"/>
      <c r="AI91" s="556"/>
      <c r="AJ91" s="557"/>
      <c r="AK91" s="556"/>
      <c r="AL91" s="556"/>
    </row>
    <row r="92" spans="1:38" ht="18.75" customHeight="1" x14ac:dyDescent="0.2">
      <c r="C92" s="1260" t="s">
        <v>789</v>
      </c>
      <c r="D92" s="1261"/>
      <c r="E92" s="1261"/>
      <c r="F92" s="1261"/>
      <c r="G92" s="1261"/>
      <c r="H92" s="1261"/>
      <c r="I92" s="1261"/>
      <c r="J92" s="1261"/>
      <c r="K92" s="1261"/>
      <c r="L92" s="1261"/>
      <c r="M92" s="1261"/>
      <c r="N92" s="1262"/>
      <c r="O92" s="1244"/>
      <c r="P92" s="1245"/>
      <c r="Q92" s="1245"/>
      <c r="R92" s="1245"/>
      <c r="S92" s="1245"/>
      <c r="T92" s="1245"/>
      <c r="U92" s="1245"/>
      <c r="V92" s="1245"/>
      <c r="W92" s="1245"/>
      <c r="X92" s="1245"/>
      <c r="Y92" s="1245"/>
      <c r="Z92" s="1245"/>
      <c r="AA92" s="1245"/>
      <c r="AB92" s="1245"/>
      <c r="AC92" s="1245"/>
      <c r="AD92" s="1245"/>
      <c r="AE92" s="1245"/>
      <c r="AF92" s="1245"/>
      <c r="AG92" s="1246"/>
      <c r="AH92" s="232"/>
      <c r="AI92" s="556"/>
      <c r="AJ92" s="557"/>
      <c r="AK92" s="556"/>
      <c r="AL92" s="556"/>
    </row>
    <row r="93" spans="1:38" ht="15.75" customHeight="1" x14ac:dyDescent="0.2">
      <c r="C93" s="1281" t="s">
        <v>791</v>
      </c>
      <c r="D93" s="1282"/>
      <c r="E93" s="1282"/>
      <c r="F93" s="1282"/>
      <c r="G93" s="1282"/>
      <c r="H93" s="1282"/>
      <c r="I93" s="1282"/>
      <c r="J93" s="1282"/>
      <c r="K93" s="1282"/>
      <c r="L93" s="1282"/>
      <c r="M93" s="1282"/>
      <c r="N93" s="1283"/>
      <c r="O93" s="1244"/>
      <c r="P93" s="1245"/>
      <c r="Q93" s="1245"/>
      <c r="R93" s="1245"/>
      <c r="S93" s="1245"/>
      <c r="T93" s="1245"/>
      <c r="U93" s="1245"/>
      <c r="V93" s="1245"/>
      <c r="W93" s="1245"/>
      <c r="X93" s="1245"/>
      <c r="Y93" s="1245"/>
      <c r="Z93" s="1245"/>
      <c r="AA93" s="1245"/>
      <c r="AB93" s="1245"/>
      <c r="AC93" s="1245"/>
      <c r="AD93" s="1245"/>
      <c r="AE93" s="1245"/>
      <c r="AF93" s="1245"/>
      <c r="AG93" s="1246"/>
      <c r="AH93" s="232"/>
      <c r="AI93" s="556"/>
      <c r="AJ93" s="557"/>
      <c r="AK93" s="556"/>
      <c r="AL93" s="556"/>
    </row>
    <row r="94" spans="1:38" ht="15.75" customHeight="1" x14ac:dyDescent="0.2">
      <c r="C94" s="1260" t="s">
        <v>795</v>
      </c>
      <c r="D94" s="1261"/>
      <c r="E94" s="1261"/>
      <c r="F94" s="1261"/>
      <c r="G94" s="1261"/>
      <c r="H94" s="1261"/>
      <c r="I94" s="1261"/>
      <c r="J94" s="1261"/>
      <c r="K94" s="1261"/>
      <c r="L94" s="1261"/>
      <c r="M94" s="1261"/>
      <c r="N94" s="1262"/>
      <c r="O94" s="1244"/>
      <c r="P94" s="1245"/>
      <c r="Q94" s="1245"/>
      <c r="R94" s="1245"/>
      <c r="S94" s="1245"/>
      <c r="T94" s="1245"/>
      <c r="U94" s="1245"/>
      <c r="V94" s="1245"/>
      <c r="W94" s="1245"/>
      <c r="X94" s="1245"/>
      <c r="Y94" s="1245"/>
      <c r="Z94" s="1245"/>
      <c r="AA94" s="1245"/>
      <c r="AB94" s="1245"/>
      <c r="AC94" s="1245"/>
      <c r="AD94" s="1245"/>
      <c r="AE94" s="1245"/>
      <c r="AF94" s="1245"/>
      <c r="AG94" s="1246"/>
      <c r="AH94" s="232"/>
      <c r="AI94" s="556"/>
      <c r="AJ94" s="557"/>
      <c r="AK94" s="556"/>
      <c r="AL94" s="556"/>
    </row>
    <row r="95" spans="1:38" ht="16.5" customHeight="1" x14ac:dyDescent="0.2">
      <c r="C95" s="1260" t="s">
        <v>797</v>
      </c>
      <c r="D95" s="1261"/>
      <c r="E95" s="1261"/>
      <c r="F95" s="1261"/>
      <c r="G95" s="1261"/>
      <c r="H95" s="1261"/>
      <c r="I95" s="1261"/>
      <c r="J95" s="1261"/>
      <c r="K95" s="1261"/>
      <c r="L95" s="1261"/>
      <c r="M95" s="1261"/>
      <c r="N95" s="1262"/>
      <c r="O95" s="1244"/>
      <c r="P95" s="1245"/>
      <c r="Q95" s="1245"/>
      <c r="R95" s="1245"/>
      <c r="S95" s="1245"/>
      <c r="T95" s="1245"/>
      <c r="U95" s="1245"/>
      <c r="V95" s="1245"/>
      <c r="W95" s="1245"/>
      <c r="X95" s="1245"/>
      <c r="Y95" s="1245"/>
      <c r="Z95" s="1245"/>
      <c r="AA95" s="1245"/>
      <c r="AB95" s="1245"/>
      <c r="AC95" s="1245"/>
      <c r="AD95" s="1245"/>
      <c r="AE95" s="1245"/>
      <c r="AF95" s="1245"/>
      <c r="AG95" s="1246"/>
      <c r="AH95" s="232"/>
      <c r="AI95" s="556"/>
      <c r="AJ95" s="557"/>
      <c r="AK95" s="556"/>
      <c r="AL95" s="556"/>
    </row>
    <row r="96" spans="1:38" ht="18" customHeight="1" x14ac:dyDescent="0.2">
      <c r="C96" s="1260" t="s">
        <v>793</v>
      </c>
      <c r="D96" s="1261"/>
      <c r="E96" s="1261"/>
      <c r="F96" s="1261"/>
      <c r="G96" s="1261"/>
      <c r="H96" s="1261"/>
      <c r="I96" s="1261"/>
      <c r="J96" s="1261"/>
      <c r="K96" s="1261"/>
      <c r="L96" s="1261"/>
      <c r="M96" s="1261"/>
      <c r="N96" s="1262"/>
      <c r="O96" s="1263" t="s">
        <v>695</v>
      </c>
      <c r="P96" s="1264"/>
      <c r="Q96" s="1264"/>
      <c r="R96" s="1264"/>
      <c r="S96" s="1264"/>
      <c r="T96" s="1265"/>
      <c r="U96" s="1260" t="s">
        <v>799</v>
      </c>
      <c r="V96" s="1261"/>
      <c r="W96" s="1261"/>
      <c r="X96" s="1261"/>
      <c r="Y96" s="1261"/>
      <c r="Z96" s="1262"/>
      <c r="AA96" s="1352"/>
      <c r="AB96" s="1353"/>
      <c r="AC96" s="1353"/>
      <c r="AD96" s="1353"/>
      <c r="AE96" s="1353"/>
      <c r="AF96" s="1353"/>
      <c r="AG96" s="1354"/>
      <c r="AH96" s="176"/>
      <c r="AI96" s="556"/>
      <c r="AJ96" s="557"/>
      <c r="AK96" s="556"/>
      <c r="AL96" s="556"/>
    </row>
    <row r="97" spans="2:38" ht="50.25" customHeight="1" x14ac:dyDescent="0.2">
      <c r="C97" s="1275" t="s">
        <v>801</v>
      </c>
      <c r="D97" s="1276"/>
      <c r="E97" s="1276"/>
      <c r="F97" s="1276"/>
      <c r="G97" s="1276"/>
      <c r="H97" s="1276"/>
      <c r="I97" s="1276"/>
      <c r="J97" s="1276"/>
      <c r="K97" s="1276"/>
      <c r="L97" s="1276"/>
      <c r="M97" s="1276"/>
      <c r="N97" s="1277"/>
      <c r="O97" s="1381"/>
      <c r="P97" s="1382"/>
      <c r="Q97" s="1382"/>
      <c r="R97" s="1382"/>
      <c r="S97" s="1382"/>
      <c r="T97" s="1382"/>
      <c r="U97" s="1382"/>
      <c r="V97" s="1382"/>
      <c r="W97" s="1382"/>
      <c r="X97" s="1382"/>
      <c r="Y97" s="1382"/>
      <c r="Z97" s="1382"/>
      <c r="AA97" s="1382"/>
      <c r="AB97" s="1382"/>
      <c r="AC97" s="1382"/>
      <c r="AD97" s="1382"/>
      <c r="AE97" s="1382"/>
      <c r="AF97" s="1382"/>
      <c r="AG97" s="1383"/>
      <c r="AH97" s="232"/>
      <c r="AI97" s="556"/>
      <c r="AJ97" s="557"/>
      <c r="AK97" s="556"/>
      <c r="AL97" s="556"/>
    </row>
    <row r="98" spans="2:38" ht="20.25" customHeight="1" x14ac:dyDescent="0.2">
      <c r="B98" s="335"/>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234"/>
      <c r="AI98" s="556"/>
      <c r="AJ98" s="557"/>
      <c r="AK98" s="556"/>
      <c r="AL98" s="556"/>
    </row>
    <row r="99" spans="2:38" ht="24" customHeight="1" x14ac:dyDescent="0.2">
      <c r="B99" s="335"/>
      <c r="C99" s="5" t="s">
        <v>619</v>
      </c>
      <c r="D99" s="5"/>
      <c r="E99" s="5"/>
      <c r="AH99" s="234"/>
      <c r="AI99" s="556"/>
      <c r="AJ99" s="557"/>
      <c r="AK99" s="556"/>
      <c r="AL99" s="556"/>
    </row>
    <row r="100" spans="2:38" ht="35.25" customHeight="1" x14ac:dyDescent="0.2">
      <c r="B100" s="335"/>
      <c r="C100" s="1005" t="s">
        <v>553</v>
      </c>
      <c r="D100" s="1005"/>
      <c r="E100" s="1005"/>
      <c r="F100" s="1005"/>
      <c r="G100" s="1005"/>
      <c r="H100" s="1005"/>
      <c r="I100" s="1005"/>
      <c r="J100" s="1005"/>
      <c r="K100" s="1005"/>
      <c r="L100" s="1005"/>
      <c r="M100" s="1005"/>
      <c r="N100" s="1005"/>
      <c r="O100" s="1005"/>
      <c r="P100" s="1005"/>
      <c r="Q100" s="1005"/>
      <c r="R100" s="1005"/>
      <c r="S100" s="1005"/>
      <c r="T100" s="1005"/>
      <c r="U100" s="1005"/>
      <c r="V100" s="1005"/>
      <c r="W100" s="1005"/>
      <c r="X100" s="1005"/>
      <c r="Y100" s="1005"/>
      <c r="Z100" s="1005"/>
      <c r="AA100" s="1005"/>
      <c r="AB100" s="1005"/>
      <c r="AC100" s="1005"/>
      <c r="AD100" s="1005"/>
      <c r="AE100" s="1005"/>
      <c r="AF100" s="1005"/>
      <c r="AH100" s="234"/>
      <c r="AI100" s="556"/>
      <c r="AJ100" s="557"/>
      <c r="AK100" s="556"/>
      <c r="AL100" s="556"/>
    </row>
    <row r="101" spans="2:38" ht="12" customHeight="1" x14ac:dyDescent="0.2">
      <c r="B101" s="335"/>
      <c r="C101" s="1266" t="s">
        <v>554</v>
      </c>
      <c r="D101" s="1266"/>
      <c r="E101" s="1266"/>
      <c r="F101" s="1380" t="s">
        <v>555</v>
      </c>
      <c r="G101" s="1380"/>
      <c r="H101" s="1380"/>
      <c r="I101" s="1380"/>
      <c r="J101" s="1380"/>
      <c r="K101" s="1380"/>
      <c r="L101" s="1380"/>
      <c r="M101" s="1380"/>
      <c r="N101" s="1380"/>
      <c r="O101" s="1380"/>
      <c r="P101" s="1380"/>
      <c r="Q101" s="1380"/>
      <c r="R101" s="1380"/>
      <c r="S101" s="1380"/>
      <c r="T101" s="1380"/>
      <c r="U101" s="1380"/>
      <c r="V101" s="1380"/>
      <c r="W101" s="1380"/>
      <c r="X101" s="31"/>
      <c r="Y101" s="31"/>
      <c r="Z101" s="31"/>
      <c r="AA101" s="31"/>
      <c r="AB101" s="31"/>
      <c r="AC101" s="31"/>
      <c r="AD101" s="31"/>
      <c r="AE101" s="31"/>
      <c r="AF101" s="31"/>
      <c r="AH101" s="234"/>
      <c r="AI101" s="556"/>
      <c r="AJ101" s="557"/>
      <c r="AK101" s="556"/>
      <c r="AL101" s="556"/>
    </row>
    <row r="102" spans="2:38" ht="17.25" customHeight="1" x14ac:dyDescent="0.2">
      <c r="B102" s="335"/>
      <c r="C102" s="1236" t="s">
        <v>550</v>
      </c>
      <c r="D102" s="1236"/>
      <c r="E102" s="1236"/>
      <c r="F102" s="1236"/>
      <c r="G102" s="1236"/>
      <c r="H102" s="1236"/>
      <c r="I102" s="1236"/>
      <c r="J102" s="1236"/>
      <c r="K102" s="1236"/>
      <c r="L102" s="1236"/>
      <c r="M102" s="1236"/>
      <c r="N102" s="1236"/>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234"/>
      <c r="AI102" s="556"/>
      <c r="AJ102" s="557"/>
      <c r="AK102" s="556"/>
      <c r="AL102" s="556"/>
    </row>
    <row r="103" spans="2:38" ht="13.5" customHeight="1" x14ac:dyDescent="0.2">
      <c r="B103" s="335"/>
      <c r="C103" s="1274" t="s">
        <v>552</v>
      </c>
      <c r="D103" s="1274"/>
      <c r="E103" s="1274"/>
      <c r="F103" s="1274"/>
      <c r="G103" s="1274"/>
      <c r="H103" s="1274"/>
      <c r="I103" s="1274"/>
      <c r="J103" s="1274"/>
      <c r="K103" s="1274"/>
      <c r="L103" s="1274"/>
      <c r="M103" s="1274"/>
      <c r="N103" s="1274"/>
      <c r="O103" s="1274"/>
      <c r="P103" s="1274"/>
      <c r="Q103" s="1274"/>
      <c r="R103" s="1274"/>
      <c r="S103" s="1274"/>
      <c r="T103" s="1274"/>
      <c r="U103" s="1274"/>
      <c r="V103" s="1274"/>
      <c r="W103" s="1273" t="s">
        <v>551</v>
      </c>
      <c r="X103" s="1273"/>
      <c r="Y103" s="1273"/>
      <c r="Z103" s="1273"/>
      <c r="AA103" s="1273"/>
      <c r="AB103" s="1273"/>
      <c r="AC103" s="1273"/>
      <c r="AD103" s="1273"/>
      <c r="AE103" s="303"/>
      <c r="AF103" s="303"/>
      <c r="AG103" s="185"/>
      <c r="AH103" s="234"/>
      <c r="AI103" s="556"/>
      <c r="AJ103" s="557"/>
      <c r="AK103" s="556"/>
      <c r="AL103" s="556"/>
    </row>
    <row r="104" spans="2:38" ht="15.75" customHeight="1" x14ac:dyDescent="0.2">
      <c r="B104" s="335"/>
      <c r="C104" s="1235" t="s">
        <v>548</v>
      </c>
      <c r="D104" s="1235"/>
      <c r="E104" s="1235"/>
      <c r="F104" s="1235"/>
      <c r="G104" s="1235"/>
      <c r="H104" s="1235"/>
      <c r="I104" s="1235"/>
      <c r="J104" s="1235"/>
      <c r="K104" s="1235"/>
      <c r="L104" s="1235"/>
      <c r="M104" s="1235"/>
      <c r="N104" s="1235"/>
      <c r="O104" s="1235"/>
      <c r="P104" s="1235"/>
      <c r="Q104" s="1235"/>
      <c r="R104" s="1235"/>
      <c r="S104" s="1235"/>
      <c r="T104" s="1235"/>
      <c r="U104" s="1235"/>
      <c r="V104" s="1235"/>
      <c r="W104" s="1235"/>
      <c r="X104" s="1235"/>
      <c r="Y104" s="1235"/>
      <c r="Z104" s="1235"/>
      <c r="AA104" s="1235"/>
      <c r="AB104" s="1235"/>
      <c r="AC104" s="1235"/>
      <c r="AD104" s="1235"/>
      <c r="AE104" s="1235"/>
      <c r="AF104" s="1235"/>
      <c r="AG104" s="1235"/>
      <c r="AH104" s="234"/>
      <c r="AI104" s="556"/>
      <c r="AJ104" s="557"/>
      <c r="AK104" s="556"/>
      <c r="AL104" s="556"/>
    </row>
    <row r="105" spans="2:38" ht="11.25" customHeight="1" x14ac:dyDescent="0.2">
      <c r="B105" s="335"/>
      <c r="C105" s="1266" t="s">
        <v>547</v>
      </c>
      <c r="D105" s="1266"/>
      <c r="E105" s="1266"/>
      <c r="F105" s="1266"/>
      <c r="G105" s="1266"/>
      <c r="H105" s="1266"/>
      <c r="I105" s="1266"/>
      <c r="J105" s="1266"/>
      <c r="K105" s="1266"/>
      <c r="L105" s="1237" t="s">
        <v>549</v>
      </c>
      <c r="M105" s="1237"/>
      <c r="N105" s="1237"/>
      <c r="O105" s="1237"/>
      <c r="P105" s="1237"/>
      <c r="Q105" s="1237"/>
      <c r="R105" s="1237"/>
      <c r="S105" s="1237"/>
      <c r="T105" s="1237"/>
      <c r="U105" s="1237"/>
      <c r="V105" s="1237"/>
      <c r="W105" s="1237"/>
      <c r="X105" s="31"/>
      <c r="Y105" s="31"/>
      <c r="Z105" s="31"/>
      <c r="AA105" s="31"/>
      <c r="AB105" s="31"/>
      <c r="AC105" s="31"/>
      <c r="AD105" s="31"/>
      <c r="AE105" s="31"/>
      <c r="AF105" s="31"/>
      <c r="AG105" s="31"/>
      <c r="AH105" s="234"/>
      <c r="AI105" s="556"/>
      <c r="AJ105" s="557"/>
      <c r="AK105" s="556"/>
      <c r="AL105" s="556"/>
    </row>
    <row r="106" spans="2:38" ht="15.75" customHeight="1" x14ac:dyDescent="0.2">
      <c r="B106" s="335"/>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186"/>
      <c r="AG106" s="32"/>
      <c r="AH106" s="234"/>
      <c r="AI106" s="556"/>
      <c r="AJ106" s="557"/>
      <c r="AK106" s="556"/>
      <c r="AL106" s="556"/>
    </row>
    <row r="107" spans="2:38" ht="18" customHeight="1" thickBot="1" x14ac:dyDescent="0.25">
      <c r="C107" s="10" t="s">
        <v>620</v>
      </c>
      <c r="D107" s="10"/>
      <c r="E107" s="10"/>
      <c r="AH107" s="176"/>
      <c r="AI107" s="556"/>
      <c r="AJ107" s="557"/>
      <c r="AK107" s="556"/>
      <c r="AL107" s="556"/>
    </row>
    <row r="108" spans="2:38" ht="14.25" customHeight="1" thickBot="1" x14ac:dyDescent="0.25">
      <c r="F108" s="168"/>
      <c r="G108" s="5" t="s">
        <v>1008</v>
      </c>
      <c r="H108" s="5"/>
      <c r="I108" s="5"/>
      <c r="J108" s="5"/>
      <c r="K108" s="5"/>
      <c r="L108" s="5"/>
      <c r="M108" s="5"/>
      <c r="N108" s="5"/>
      <c r="O108" s="5"/>
      <c r="AH108" s="176"/>
      <c r="AI108" s="556"/>
      <c r="AJ108" s="557"/>
      <c r="AK108" s="556"/>
      <c r="AL108" s="556"/>
    </row>
    <row r="109" spans="2:38" ht="14.25" customHeight="1" thickBot="1" x14ac:dyDescent="0.25">
      <c r="F109" s="168"/>
      <c r="G109" s="12" t="s">
        <v>121</v>
      </c>
      <c r="H109" s="12"/>
      <c r="I109" s="12"/>
      <c r="J109" s="12"/>
      <c r="K109" s="12"/>
      <c r="L109" s="12"/>
      <c r="M109" s="12"/>
      <c r="N109" s="12"/>
      <c r="O109" s="12"/>
      <c r="AH109" s="176"/>
      <c r="AI109" s="556"/>
      <c r="AJ109" s="557"/>
      <c r="AK109" s="556"/>
      <c r="AL109" s="556"/>
    </row>
    <row r="110" spans="2:38" ht="14.25" customHeight="1" thickBot="1" x14ac:dyDescent="0.25">
      <c r="C110" s="75"/>
      <c r="D110" s="75"/>
      <c r="F110" s="168"/>
      <c r="G110" s="12" t="s">
        <v>120</v>
      </c>
      <c r="H110" s="12"/>
      <c r="I110" s="12"/>
      <c r="J110" s="12"/>
      <c r="K110" s="12"/>
      <c r="L110" s="12"/>
      <c r="M110" s="12"/>
      <c r="N110" s="12"/>
      <c r="O110" s="12"/>
      <c r="AH110" s="176"/>
      <c r="AI110" s="556"/>
      <c r="AJ110" s="557"/>
      <c r="AK110" s="556"/>
      <c r="AL110" s="556"/>
    </row>
    <row r="111" spans="2:38" ht="13.5" thickBot="1" x14ac:dyDescent="0.25">
      <c r="C111" s="75"/>
      <c r="D111" s="75"/>
      <c r="F111" s="168"/>
      <c r="G111" s="12" t="s">
        <v>742</v>
      </c>
      <c r="H111" s="12"/>
      <c r="I111" s="12"/>
      <c r="J111" s="12"/>
      <c r="K111" s="12"/>
      <c r="L111" s="12"/>
      <c r="M111" s="12"/>
      <c r="N111" s="12"/>
      <c r="O111" s="12"/>
      <c r="AH111" s="176"/>
      <c r="AI111" s="556"/>
      <c r="AJ111" s="557"/>
      <c r="AK111" s="556"/>
      <c r="AL111" s="556"/>
    </row>
    <row r="112" spans="2:38" ht="12.75" x14ac:dyDescent="0.2">
      <c r="C112" s="75"/>
      <c r="D112" s="75"/>
      <c r="F112" s="12"/>
      <c r="G112" s="12" t="s">
        <v>1009</v>
      </c>
      <c r="H112" s="12"/>
      <c r="I112" s="12"/>
      <c r="J112" s="12"/>
      <c r="K112" s="12"/>
      <c r="L112" s="12"/>
      <c r="M112" s="12"/>
      <c r="N112" s="12"/>
      <c r="O112" s="12"/>
      <c r="AH112" s="176"/>
      <c r="AI112" s="556"/>
      <c r="AJ112" s="557"/>
      <c r="AK112" s="556"/>
      <c r="AL112" s="556"/>
    </row>
    <row r="113" spans="1:38" ht="12.75" x14ac:dyDescent="0.2">
      <c r="A113" s="560" t="str">
        <f>"NOT DONE"</f>
        <v>NOT DONE</v>
      </c>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9"/>
      <c r="AI113" s="556"/>
      <c r="AJ113" s="557"/>
      <c r="AK113" s="556"/>
      <c r="AL113" s="556"/>
    </row>
    <row r="114" spans="1:38" ht="12.75" x14ac:dyDescent="0.2">
      <c r="A114" s="560" t="str">
        <f>"PARTIAL"</f>
        <v>PARTIAL</v>
      </c>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370"/>
      <c r="AF114" s="370"/>
      <c r="AG114" s="370"/>
      <c r="AH114" s="373"/>
      <c r="AI114" s="556"/>
      <c r="AJ114" s="557"/>
      <c r="AK114" s="556"/>
      <c r="AL114" s="556"/>
    </row>
    <row r="115" spans="1:38" ht="12.75" x14ac:dyDescent="0.2">
      <c r="A115" s="560" t="str">
        <f>"COMPLETED"</f>
        <v>COMPLETED</v>
      </c>
      <c r="C115" s="248" t="s">
        <v>621</v>
      </c>
      <c r="D115" s="91"/>
      <c r="E115" s="5" t="s">
        <v>606</v>
      </c>
      <c r="F115" s="5"/>
      <c r="H115" s="5"/>
      <c r="I115" s="12"/>
      <c r="J115" s="12"/>
      <c r="K115" s="12"/>
      <c r="L115" s="12"/>
      <c r="M115" s="12"/>
      <c r="N115" s="12"/>
      <c r="O115" s="12"/>
      <c r="AE115" s="370"/>
      <c r="AF115" s="370"/>
      <c r="AG115" s="370"/>
      <c r="AH115" s="373"/>
      <c r="AI115" s="556"/>
      <c r="AJ115" s="557"/>
      <c r="AK115" s="557"/>
      <c r="AL115" s="556"/>
    </row>
    <row r="116" spans="1:38" ht="15" x14ac:dyDescent="0.2">
      <c r="C116" s="208"/>
      <c r="D116" s="77"/>
      <c r="F116" s="133" t="str">
        <f>IF(AJ116=0,A113, IF(AJ116=AK116, A115,A114))</f>
        <v>NOT DONE</v>
      </c>
      <c r="G116" s="12"/>
      <c r="H116" s="12"/>
      <c r="I116" s="12"/>
      <c r="J116" s="12"/>
      <c r="K116" s="12"/>
      <c r="L116" s="12" t="s">
        <v>600</v>
      </c>
      <c r="M116" s="12"/>
      <c r="N116" s="12"/>
      <c r="O116" s="12"/>
      <c r="AB116" s="32"/>
      <c r="AE116" s="370"/>
      <c r="AF116" s="370"/>
      <c r="AG116" s="370"/>
      <c r="AH116" s="373"/>
      <c r="AI116" s="556"/>
      <c r="AJ116" s="557">
        <f>(AJ75+AJ45+AJ12+AJ6)</f>
        <v>0</v>
      </c>
      <c r="AK116" s="591">
        <v>4</v>
      </c>
      <c r="AL116" s="556"/>
    </row>
    <row r="117" spans="1:38" ht="15" x14ac:dyDescent="0.2">
      <c r="C117" s="208"/>
      <c r="D117" s="77"/>
      <c r="F117" s="133" t="str">
        <f>IF(AJ117=0,A113, IF(AJ117=AK117, A115,A114))</f>
        <v>NOT DONE</v>
      </c>
      <c r="G117" s="12"/>
      <c r="H117" s="12"/>
      <c r="I117" s="12"/>
      <c r="J117" s="12"/>
      <c r="K117" s="12"/>
      <c r="L117" s="12" t="s">
        <v>601</v>
      </c>
      <c r="M117" s="12"/>
      <c r="N117" s="12"/>
      <c r="O117" s="12"/>
      <c r="AB117" s="32"/>
      <c r="AE117" s="370"/>
      <c r="AF117" s="370"/>
      <c r="AG117" s="370"/>
      <c r="AH117" s="373"/>
      <c r="AI117" s="556"/>
      <c r="AJ117" s="557">
        <f>AJ130+AJ132+AJ136+AJ138+AJ144+AJ148+AJ152+AJ161+AJ175+AJ178+AJ184</f>
        <v>0</v>
      </c>
      <c r="AK117" s="591">
        <v>11</v>
      </c>
      <c r="AL117" s="556"/>
    </row>
    <row r="118" spans="1:38" ht="15" x14ac:dyDescent="0.2">
      <c r="C118" s="418"/>
      <c r="D118" s="75"/>
      <c r="F118" s="133" t="str">
        <f>IF(AJ118&lt;1,A113, IF(AJ118=AK118, A115,A114))</f>
        <v>NOT DONE</v>
      </c>
      <c r="G118" s="12"/>
      <c r="H118" s="12"/>
      <c r="I118" s="12"/>
      <c r="J118" s="12"/>
      <c r="K118" s="12"/>
      <c r="L118" s="12" t="s">
        <v>602</v>
      </c>
      <c r="M118" s="12"/>
      <c r="N118" s="12"/>
      <c r="O118" s="12"/>
      <c r="AB118" s="32"/>
      <c r="AE118" s="370"/>
      <c r="AF118" s="370"/>
      <c r="AG118" s="370"/>
      <c r="AH118" s="373"/>
      <c r="AI118" s="556"/>
      <c r="AJ118" s="557">
        <f>AJ251+AJ274+AJ278+AJ280+AJ282+AJ288+AJ299+AJ322+AJ370+AJ377+AJ384++AJ417+AJ419+AJ424+AJ428+AJ433+AJ480+AJ542+AJ374+AJ561</f>
        <v>0</v>
      </c>
      <c r="AK118" s="591">
        <v>20</v>
      </c>
      <c r="AL118" s="556"/>
    </row>
    <row r="119" spans="1:38" ht="15" x14ac:dyDescent="0.2">
      <c r="C119" s="418"/>
      <c r="D119" s="75"/>
      <c r="F119" s="133" t="str">
        <f>IF(AJ119=0,A113, IF(AJ119=AK119, A115,A114))</f>
        <v>NOT DONE</v>
      </c>
      <c r="G119" s="12"/>
      <c r="H119" s="12"/>
      <c r="I119" s="12"/>
      <c r="J119" s="12"/>
      <c r="K119" s="12"/>
      <c r="L119" s="12" t="s">
        <v>256</v>
      </c>
      <c r="M119" s="12"/>
      <c r="N119" s="12"/>
      <c r="O119" s="12"/>
      <c r="AB119" s="32"/>
      <c r="AE119" s="370"/>
      <c r="AF119" s="370"/>
      <c r="AG119" s="370"/>
      <c r="AH119" s="373"/>
      <c r="AI119" s="556"/>
      <c r="AJ119" s="557">
        <f>AJ567+AJ575+AJ584+AJ593+AJ596+AJ603+AJ605+AJ614+AJ616+AJ618+AJ622+AJ626</f>
        <v>0</v>
      </c>
      <c r="AK119" s="591">
        <v>12</v>
      </c>
      <c r="AL119" s="556"/>
    </row>
    <row r="120" spans="1:38" ht="15" x14ac:dyDescent="0.2">
      <c r="C120" s="418"/>
      <c r="D120" s="75"/>
      <c r="F120" s="133" t="str">
        <f>IF(AJ120=0,A113, IF(AJ120=AK120, A115,A114))</f>
        <v>NOT DONE</v>
      </c>
      <c r="G120" s="12"/>
      <c r="H120" s="12"/>
      <c r="I120" s="12"/>
      <c r="J120" s="12"/>
      <c r="K120" s="12"/>
      <c r="L120" s="12" t="s">
        <v>257</v>
      </c>
      <c r="M120" s="12"/>
      <c r="N120" s="12"/>
      <c r="O120" s="12"/>
      <c r="AB120" s="32"/>
      <c r="AE120" s="370"/>
      <c r="AF120" s="370"/>
      <c r="AG120" s="370"/>
      <c r="AH120" s="373"/>
      <c r="AI120" s="556"/>
      <c r="AJ120" s="557">
        <f>AJ638+AJ645+AJ640+AJ643+AJ650+AJ690+AJ693+AJ700</f>
        <v>0</v>
      </c>
      <c r="AK120" s="591">
        <v>8</v>
      </c>
      <c r="AL120" s="556"/>
    </row>
    <row r="121" spans="1:38" ht="15" x14ac:dyDescent="0.2">
      <c r="C121" s="418"/>
      <c r="D121" s="75"/>
      <c r="F121" s="134" t="str">
        <f>IF(AJ121=0,A113, IF(AJ121=AK121, A115,A114))</f>
        <v>NOT DONE</v>
      </c>
      <c r="G121" s="12"/>
      <c r="H121" s="12"/>
      <c r="I121" s="12"/>
      <c r="J121" s="12"/>
      <c r="K121" s="12"/>
      <c r="L121" s="12" t="s">
        <v>603</v>
      </c>
      <c r="M121" s="12"/>
      <c r="N121" s="12"/>
      <c r="O121" s="12"/>
      <c r="AB121" s="32"/>
      <c r="AE121" s="370"/>
      <c r="AF121" s="370"/>
      <c r="AG121" s="370"/>
      <c r="AH121" s="373"/>
      <c r="AI121" s="556"/>
      <c r="AJ121" s="557">
        <f>AJ727+AJ728+AJ730+AJ734+AJ739+AJ749+AJ752+AJ754+AJ765+AJ772+AJ774+AJ776+AJ780+AJ788+AJ789+AJ796+AJ797+AJ799</f>
        <v>0</v>
      </c>
      <c r="AK121" s="591">
        <v>18</v>
      </c>
      <c r="AL121" s="556"/>
    </row>
    <row r="122" spans="1:38" ht="15" x14ac:dyDescent="0.2">
      <c r="C122" s="5"/>
      <c r="F122" s="134" t="str">
        <f>IF(AJ122=0,A113, IF(AJ122=AK122, A115,A114))</f>
        <v>NOT DONE</v>
      </c>
      <c r="G122" s="12"/>
      <c r="H122" s="12"/>
      <c r="I122" s="12"/>
      <c r="J122" s="12"/>
      <c r="K122" s="12"/>
      <c r="L122" s="12" t="s">
        <v>604</v>
      </c>
      <c r="M122" s="12"/>
      <c r="N122" s="12"/>
      <c r="O122" s="12"/>
      <c r="AB122" s="32"/>
      <c r="AE122" s="370"/>
      <c r="AF122" s="370"/>
      <c r="AG122" s="370"/>
      <c r="AH122" s="373"/>
      <c r="AI122" s="556"/>
      <c r="AJ122" s="557">
        <f>AJ822+AJ832+AJ846+AJ865</f>
        <v>0</v>
      </c>
      <c r="AK122" s="591">
        <v>4</v>
      </c>
      <c r="AL122" s="556"/>
    </row>
    <row r="123" spans="1:38" ht="15" x14ac:dyDescent="0.2">
      <c r="C123" s="5"/>
      <c r="F123" s="134" t="str">
        <f>IF(AJ123=0,A113, IF(AJ123=AK123, A115,A114))</f>
        <v>NOT DONE</v>
      </c>
      <c r="G123" s="12"/>
      <c r="H123" s="12"/>
      <c r="I123" s="12"/>
      <c r="J123" s="12"/>
      <c r="K123" s="12"/>
      <c r="L123" s="12" t="s">
        <v>605</v>
      </c>
      <c r="M123" s="12"/>
      <c r="N123" s="12"/>
      <c r="O123" s="12"/>
      <c r="AB123" s="32"/>
      <c r="AE123" s="370"/>
      <c r="AF123" s="370"/>
      <c r="AG123" s="370"/>
      <c r="AH123" s="373"/>
      <c r="AI123" s="556"/>
      <c r="AJ123" s="557">
        <f>AJ888</f>
        <v>0</v>
      </c>
      <c r="AK123" s="591">
        <v>1</v>
      </c>
      <c r="AL123" s="556"/>
    </row>
    <row r="124" spans="1:38" ht="12.75" x14ac:dyDescent="0.2">
      <c r="F124" s="21"/>
      <c r="G124" s="11"/>
      <c r="H124" s="12"/>
      <c r="I124" s="12"/>
      <c r="J124" s="12"/>
      <c r="K124" s="12"/>
      <c r="L124" s="12"/>
      <c r="M124" s="12"/>
      <c r="N124" s="12"/>
      <c r="O124" s="12"/>
      <c r="AE124" s="370"/>
      <c r="AF124" s="370"/>
      <c r="AG124" s="370"/>
      <c r="AH124" s="373"/>
      <c r="AI124" s="556"/>
      <c r="AJ124" s="557"/>
      <c r="AK124" s="592"/>
      <c r="AL124" s="556"/>
    </row>
    <row r="125" spans="1:38" ht="12.75" x14ac:dyDescent="0.2">
      <c r="C125" s="12" t="s">
        <v>675</v>
      </c>
      <c r="E125" s="12"/>
      <c r="F125" s="21"/>
      <c r="G125" s="11"/>
      <c r="H125" s="12"/>
      <c r="I125" s="12"/>
      <c r="J125" s="12"/>
      <c r="K125" s="12"/>
      <c r="L125" s="12"/>
      <c r="M125" s="12"/>
      <c r="N125" s="12"/>
      <c r="O125" s="12"/>
      <c r="AF125" s="167"/>
      <c r="AG125" s="373"/>
      <c r="AH125" s="373"/>
      <c r="AI125" s="556"/>
      <c r="AJ125" s="557"/>
      <c r="AK125" s="592"/>
      <c r="AL125" s="556"/>
    </row>
    <row r="126" spans="1:38" ht="12.75" x14ac:dyDescent="0.2">
      <c r="C126" s="77" t="s">
        <v>384</v>
      </c>
      <c r="F126" s="21"/>
      <c r="G126" s="11"/>
      <c r="H126" s="12"/>
      <c r="I126" s="12"/>
      <c r="J126" s="12"/>
      <c r="K126" s="12"/>
      <c r="L126" s="12"/>
      <c r="M126" s="12"/>
      <c r="N126" s="12"/>
      <c r="O126" s="12"/>
      <c r="AH126" s="255"/>
      <c r="AI126" s="556"/>
      <c r="AJ126" s="557"/>
      <c r="AK126" s="592"/>
      <c r="AL126" s="556"/>
    </row>
    <row r="127" spans="1:38" ht="3" customHeight="1" thickBot="1" x14ac:dyDescent="0.25">
      <c r="AH127" s="222"/>
      <c r="AI127" s="556"/>
      <c r="AJ127" s="557"/>
      <c r="AK127" s="556"/>
      <c r="AL127" s="556"/>
    </row>
    <row r="128" spans="1:38" ht="15" customHeight="1" thickBot="1" x14ac:dyDescent="0.3">
      <c r="A128" s="562"/>
      <c r="C128" s="1002" t="s">
        <v>688</v>
      </c>
      <c r="D128" s="1003"/>
      <c r="E128" s="1003"/>
      <c r="F128" s="1003"/>
      <c r="G128" s="1003"/>
      <c r="H128" s="1003"/>
      <c r="I128" s="1003"/>
      <c r="J128" s="1003"/>
      <c r="K128" s="1003"/>
      <c r="L128" s="1003"/>
      <c r="M128" s="1003"/>
      <c r="N128" s="1003"/>
      <c r="O128" s="1003"/>
      <c r="P128" s="1003"/>
      <c r="Q128" s="1003"/>
      <c r="R128" s="1003"/>
      <c r="S128" s="1003"/>
      <c r="T128" s="1003"/>
      <c r="U128" s="1003"/>
      <c r="V128" s="1003"/>
      <c r="W128" s="1003"/>
      <c r="X128" s="1003"/>
      <c r="Y128" s="1003"/>
      <c r="Z128" s="1003"/>
      <c r="AA128" s="1003"/>
      <c r="AB128" s="1003"/>
      <c r="AC128" s="1003"/>
      <c r="AD128" s="1003"/>
      <c r="AE128" s="1003"/>
      <c r="AF128" s="1003"/>
      <c r="AG128" s="1004"/>
      <c r="AH128" s="253" t="s">
        <v>843</v>
      </c>
      <c r="AI128" s="556"/>
      <c r="AJ128" s="557"/>
      <c r="AK128" s="556"/>
      <c r="AL128" s="556"/>
    </row>
    <row r="129" spans="1:48" ht="15.75" customHeight="1" x14ac:dyDescent="0.2">
      <c r="A129" s="563"/>
      <c r="B129" s="334"/>
      <c r="C129" s="98" t="s">
        <v>572</v>
      </c>
      <c r="D129" s="98"/>
      <c r="E129" s="9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222"/>
      <c r="AI129" s="556"/>
      <c r="AJ129" s="557"/>
      <c r="AK129" s="556"/>
      <c r="AL129" s="556"/>
    </row>
    <row r="130" spans="1:48" ht="28.5" customHeight="1" x14ac:dyDescent="0.2">
      <c r="A130" s="563"/>
      <c r="B130" s="334"/>
      <c r="C130" s="1377"/>
      <c r="D130" s="1378"/>
      <c r="E130" s="1378"/>
      <c r="F130" s="1378"/>
      <c r="G130" s="1378"/>
      <c r="H130" s="1378"/>
      <c r="I130" s="1378"/>
      <c r="J130" s="1378"/>
      <c r="K130" s="1378"/>
      <c r="L130" s="1378"/>
      <c r="M130" s="1378"/>
      <c r="N130" s="1378"/>
      <c r="O130" s="1378"/>
      <c r="P130" s="1378"/>
      <c r="Q130" s="1378"/>
      <c r="R130" s="1378"/>
      <c r="S130" s="1378"/>
      <c r="T130" s="1378"/>
      <c r="U130" s="1378"/>
      <c r="V130" s="1378"/>
      <c r="W130" s="1378"/>
      <c r="X130" s="1378"/>
      <c r="Y130" s="1378"/>
      <c r="Z130" s="1378"/>
      <c r="AA130" s="1378"/>
      <c r="AB130" s="1378"/>
      <c r="AC130" s="1378"/>
      <c r="AD130" s="1378"/>
      <c r="AE130" s="1378"/>
      <c r="AF130" s="1378"/>
      <c r="AG130" s="1379"/>
      <c r="AH130" s="223"/>
      <c r="AI130" s="556"/>
      <c r="AJ130" s="557">
        <f>IF(TRIM(C130)="",0,1)</f>
        <v>0</v>
      </c>
      <c r="AK130" s="556">
        <f>IF(AF125="X", IF(AJ130=0,1,2),0)</f>
        <v>0</v>
      </c>
      <c r="AL130" s="556"/>
    </row>
    <row r="131" spans="1:48" ht="15" customHeight="1" x14ac:dyDescent="0.2">
      <c r="A131" s="563"/>
      <c r="B131" s="334"/>
      <c r="C131" s="998" t="s">
        <v>807</v>
      </c>
      <c r="D131" s="998"/>
      <c r="E131" s="998"/>
      <c r="F131" s="998"/>
      <c r="G131" s="998"/>
      <c r="H131" s="998"/>
      <c r="I131" s="998"/>
      <c r="J131" s="998"/>
      <c r="K131" s="998"/>
      <c r="L131" s="998"/>
      <c r="M131" s="998"/>
      <c r="N131" s="998"/>
      <c r="O131" s="998"/>
      <c r="P131" s="998"/>
      <c r="Q131" s="998"/>
      <c r="R131" s="998"/>
      <c r="S131" s="998"/>
      <c r="T131" s="998"/>
      <c r="U131" s="998"/>
      <c r="V131" s="998"/>
      <c r="W131" s="998"/>
      <c r="X131" s="998"/>
      <c r="Y131" s="998"/>
      <c r="Z131" s="998"/>
      <c r="AA131" s="998"/>
      <c r="AB131" s="998"/>
      <c r="AC131" s="998"/>
      <c r="AD131" s="998"/>
      <c r="AE131" s="998"/>
      <c r="AF131" s="998"/>
      <c r="AG131" s="998"/>
      <c r="AH131" s="419"/>
      <c r="AI131" s="556"/>
      <c r="AJ131" s="557"/>
      <c r="AK131" s="556"/>
      <c r="AL131" s="556"/>
    </row>
    <row r="132" spans="1:48" ht="29.25" customHeight="1" x14ac:dyDescent="0.2">
      <c r="A132" s="563"/>
      <c r="B132" s="334"/>
      <c r="C132" s="1377"/>
      <c r="D132" s="1378"/>
      <c r="E132" s="1378"/>
      <c r="F132" s="1378"/>
      <c r="G132" s="1378"/>
      <c r="H132" s="1378"/>
      <c r="I132" s="1378"/>
      <c r="J132" s="1378"/>
      <c r="K132" s="1378"/>
      <c r="L132" s="1378"/>
      <c r="M132" s="1378"/>
      <c r="N132" s="1378"/>
      <c r="O132" s="1378"/>
      <c r="P132" s="1378"/>
      <c r="Q132" s="1378"/>
      <c r="R132" s="1378"/>
      <c r="S132" s="1378"/>
      <c r="T132" s="1378"/>
      <c r="U132" s="1378"/>
      <c r="V132" s="1378"/>
      <c r="W132" s="1378"/>
      <c r="X132" s="1378"/>
      <c r="Y132" s="1378"/>
      <c r="Z132" s="1378"/>
      <c r="AA132" s="1378"/>
      <c r="AB132" s="1378"/>
      <c r="AC132" s="1378"/>
      <c r="AD132" s="1378"/>
      <c r="AE132" s="1378"/>
      <c r="AF132" s="1378"/>
      <c r="AG132" s="1379"/>
      <c r="AH132" s="420"/>
      <c r="AI132" s="556"/>
      <c r="AJ132" s="557">
        <f>IF(TRIM(C132)="",0,1)</f>
        <v>0</v>
      </c>
      <c r="AK132" s="556">
        <f>IF(AF125="X", IF(AJ132=0,1,2),0)</f>
        <v>0</v>
      </c>
      <c r="AL132" s="556"/>
    </row>
    <row r="133" spans="1:48" ht="2.25" customHeight="1" x14ac:dyDescent="0.2">
      <c r="A133" s="563"/>
      <c r="B133" s="334"/>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419"/>
      <c r="AI133" s="556"/>
      <c r="AJ133" s="557"/>
      <c r="AK133" s="556"/>
      <c r="AL133" s="556"/>
    </row>
    <row r="134" spans="1:48" ht="12" customHeight="1" x14ac:dyDescent="0.2">
      <c r="A134" s="563"/>
      <c r="B134" s="334"/>
      <c r="C134" s="1009" t="s">
        <v>895</v>
      </c>
      <c r="D134" s="1009"/>
      <c r="E134" s="1009"/>
      <c r="F134" s="1009"/>
      <c r="G134" s="1009"/>
      <c r="H134" s="1009"/>
      <c r="I134" s="1009"/>
      <c r="J134" s="1009"/>
      <c r="K134" s="1009"/>
      <c r="L134" s="1009"/>
      <c r="M134" s="1009"/>
      <c r="N134" s="1009"/>
      <c r="O134" s="1009"/>
      <c r="P134" s="1009"/>
      <c r="Q134" s="1009"/>
      <c r="R134" s="1009"/>
      <c r="S134" s="1009"/>
      <c r="T134" s="1009"/>
      <c r="U134" s="1009"/>
      <c r="V134" s="1009"/>
      <c r="W134" s="1009"/>
      <c r="X134" s="1009"/>
      <c r="Y134" s="1009"/>
      <c r="Z134" s="1009"/>
      <c r="AA134" s="1009"/>
      <c r="AB134" s="1009"/>
      <c r="AC134" s="1009"/>
      <c r="AD134" s="8"/>
      <c r="AE134" s="8"/>
      <c r="AF134" s="8"/>
      <c r="AG134" s="97"/>
      <c r="AH134" s="263"/>
      <c r="AI134" s="556"/>
      <c r="AJ134" s="557"/>
      <c r="AK134" s="556"/>
      <c r="AL134" s="556"/>
    </row>
    <row r="135" spans="1:48" ht="13.5" customHeight="1" x14ac:dyDescent="0.2">
      <c r="A135" s="563"/>
      <c r="B135" s="334"/>
      <c r="C135" s="236" t="s">
        <v>896</v>
      </c>
      <c r="D135" s="102"/>
      <c r="E135" s="102" t="s">
        <v>189</v>
      </c>
      <c r="F135" s="100"/>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421"/>
      <c r="AI135" s="556"/>
      <c r="AJ135" s="557"/>
      <c r="AK135" s="556"/>
      <c r="AL135" s="556"/>
    </row>
    <row r="136" spans="1:48" ht="14.25" customHeight="1" x14ac:dyDescent="0.2">
      <c r="A136" s="563"/>
      <c r="B136" s="338">
        <f>IF(E136="",0,IF(E136="Raw material chemical, OR food additive OR processing aid used in food manufacturing",1,IF(E136="Food supplied as an ingredient for use in further manufacturing or processing",2, IF(E136="Food may be used as an ingredient, or may be retail-ready finished product",3, IF(E136="Food which is a retail-ready finished product",4, 5)))))</f>
        <v>0</v>
      </c>
      <c r="C136" s="95"/>
      <c r="D136" s="95"/>
      <c r="E136" s="1241"/>
      <c r="F136" s="1242"/>
      <c r="G136" s="1242"/>
      <c r="H136" s="1242"/>
      <c r="I136" s="1242"/>
      <c r="J136" s="1242"/>
      <c r="K136" s="1242"/>
      <c r="L136" s="1242"/>
      <c r="M136" s="1242"/>
      <c r="N136" s="1242"/>
      <c r="O136" s="1242"/>
      <c r="P136" s="1242"/>
      <c r="Q136" s="1242"/>
      <c r="R136" s="1242"/>
      <c r="S136" s="1242"/>
      <c r="T136" s="1242"/>
      <c r="U136" s="1242"/>
      <c r="V136" s="1242"/>
      <c r="W136" s="1242"/>
      <c r="X136" s="1242"/>
      <c r="Y136" s="1242"/>
      <c r="Z136" s="1242"/>
      <c r="AA136" s="1242"/>
      <c r="AB136" s="1242"/>
      <c r="AC136" s="1242"/>
      <c r="AD136" s="1242"/>
      <c r="AE136" s="1243"/>
      <c r="AF136" s="97"/>
      <c r="AG136" s="97"/>
      <c r="AH136" s="422"/>
      <c r="AI136" s="593"/>
      <c r="AJ136" s="594">
        <f>IF(B136&gt;=1, 1,0)</f>
        <v>0</v>
      </c>
      <c r="AK136" s="593">
        <f>IF(AF125="X", IF(AJ136=0,1,2),0)</f>
        <v>0</v>
      </c>
      <c r="AL136" s="593"/>
      <c r="AM136" s="384"/>
      <c r="AN136" s="384"/>
      <c r="AO136" s="384"/>
      <c r="AP136" s="384"/>
      <c r="AQ136" s="384"/>
      <c r="AR136" s="384"/>
      <c r="AS136" s="384"/>
      <c r="AT136" s="384"/>
      <c r="AU136" s="384"/>
      <c r="AV136" s="384"/>
    </row>
    <row r="137" spans="1:48" ht="15" customHeight="1" x14ac:dyDescent="0.2">
      <c r="A137" s="563"/>
      <c r="B137" s="334"/>
      <c r="C137" s="138" t="s">
        <v>897</v>
      </c>
      <c r="D137" s="95"/>
      <c r="E137" s="138" t="s">
        <v>188</v>
      </c>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c r="AE137" s="95"/>
      <c r="AF137" s="97"/>
      <c r="AG137" s="97"/>
      <c r="AH137" s="77"/>
      <c r="AI137" s="593"/>
      <c r="AJ137" s="594"/>
      <c r="AK137" s="593"/>
      <c r="AL137" s="593"/>
      <c r="AM137" s="384"/>
      <c r="AN137" s="384"/>
      <c r="AO137" s="384"/>
      <c r="AP137" s="384"/>
      <c r="AQ137" s="384"/>
      <c r="AR137" s="384"/>
      <c r="AS137" s="384"/>
      <c r="AT137" s="384"/>
      <c r="AU137" s="384"/>
      <c r="AV137" s="384"/>
    </row>
    <row r="138" spans="1:48" ht="15" customHeight="1" x14ac:dyDescent="0.2">
      <c r="A138" s="563"/>
      <c r="B138" s="338">
        <f>IF(E138="",0,IF(E138="liquid, single strength ready for use",1,IF(E138="liquid, concentrate",2, IF(E138="liquid, concentrate for use in solid/semi solid food",3, IF(E138="solid, dehydrated substance ",4, IF(E138="solid substance, suspended in liquid",5, IF(E138="Solid, semi-solid or powder substance, intended for use in further preparation",6, 7)))))))</f>
        <v>0</v>
      </c>
      <c r="C138" s="236"/>
      <c r="D138" s="8"/>
      <c r="E138" s="1254"/>
      <c r="F138" s="1255"/>
      <c r="G138" s="1255"/>
      <c r="H138" s="1255"/>
      <c r="I138" s="1255"/>
      <c r="J138" s="1255"/>
      <c r="K138" s="1255"/>
      <c r="L138" s="1255"/>
      <c r="M138" s="1255"/>
      <c r="N138" s="1255"/>
      <c r="O138" s="1255"/>
      <c r="P138" s="1255"/>
      <c r="Q138" s="1255"/>
      <c r="R138" s="1255"/>
      <c r="S138" s="1255"/>
      <c r="T138" s="1255"/>
      <c r="U138" s="1255"/>
      <c r="V138" s="1255"/>
      <c r="W138" s="1255"/>
      <c r="X138" s="1255"/>
      <c r="Y138" s="1255"/>
      <c r="Z138" s="1255"/>
      <c r="AA138" s="1255"/>
      <c r="AB138" s="1255"/>
      <c r="AC138" s="1255"/>
      <c r="AD138" s="1255"/>
      <c r="AE138" s="1256"/>
      <c r="AF138" s="8"/>
      <c r="AG138" s="97"/>
      <c r="AH138" s="263"/>
      <c r="AI138" s="593"/>
      <c r="AJ138" s="594">
        <f>IF(B138&gt;=1, 1,0)</f>
        <v>0</v>
      </c>
      <c r="AK138" s="593">
        <f>IF(AF125="X", IF(AJ138=0,1,2),0)</f>
        <v>0</v>
      </c>
      <c r="AL138" s="593"/>
      <c r="AM138" s="384"/>
      <c r="AN138" s="384"/>
      <c r="AO138" s="384"/>
      <c r="AP138" s="384"/>
      <c r="AQ138" s="384"/>
      <c r="AR138" s="384"/>
      <c r="AS138" s="384"/>
      <c r="AT138" s="384"/>
      <c r="AU138" s="384"/>
      <c r="AV138" s="384"/>
    </row>
    <row r="139" spans="1:48" ht="10.5" customHeight="1" x14ac:dyDescent="0.25">
      <c r="A139" s="563"/>
      <c r="B139" s="339">
        <f xml:space="preserve"> IF(B136&lt;&gt;2,8, 2)</f>
        <v>8</v>
      </c>
      <c r="C139" s="236"/>
      <c r="D139" s="256"/>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8"/>
      <c r="AA139" s="8"/>
      <c r="AB139" s="8"/>
      <c r="AC139" s="8"/>
      <c r="AD139" s="8"/>
      <c r="AE139" s="8"/>
      <c r="AF139" s="8"/>
      <c r="AG139" s="97"/>
      <c r="AH139" s="263"/>
      <c r="AI139" s="593"/>
      <c r="AJ139" s="594"/>
      <c r="AK139" s="593"/>
      <c r="AL139" s="593"/>
      <c r="AM139" s="384"/>
      <c r="AN139" s="384"/>
      <c r="AO139" s="384"/>
      <c r="AP139" s="384"/>
      <c r="AQ139" s="384"/>
      <c r="AR139" s="384"/>
      <c r="AS139" s="384"/>
      <c r="AT139" s="384"/>
      <c r="AU139" s="384"/>
      <c r="AV139" s="384"/>
    </row>
    <row r="140" spans="1:48" ht="13.5" customHeight="1" x14ac:dyDescent="0.2">
      <c r="A140" s="563"/>
      <c r="B140" s="334"/>
      <c r="C140" s="101" t="s">
        <v>669</v>
      </c>
      <c r="D140" s="416"/>
      <c r="E140" s="416"/>
      <c r="F140" s="416"/>
      <c r="G140" s="416"/>
      <c r="H140" s="416"/>
      <c r="I140" s="416"/>
      <c r="J140" s="95"/>
      <c r="K140" s="95"/>
      <c r="L140" s="95"/>
      <c r="M140" s="95"/>
      <c r="N140" s="95"/>
      <c r="O140" s="95"/>
      <c r="P140" s="95"/>
      <c r="Q140" s="95"/>
      <c r="R140" s="95"/>
      <c r="S140" s="95"/>
      <c r="T140" s="95"/>
      <c r="U140" s="93"/>
      <c r="V140" s="93"/>
      <c r="W140" s="94"/>
      <c r="X140" s="95"/>
      <c r="Y140" s="96"/>
      <c r="Z140" s="96"/>
      <c r="AA140" s="96"/>
      <c r="AB140" s="96"/>
      <c r="AC140" s="96"/>
      <c r="AD140" s="96"/>
      <c r="AE140" s="96"/>
      <c r="AF140" s="96"/>
      <c r="AG140" s="96"/>
      <c r="AH140" s="417"/>
      <c r="AI140" s="593"/>
      <c r="AJ140" s="594"/>
      <c r="AK140" s="593"/>
      <c r="AL140" s="593"/>
      <c r="AM140" s="384"/>
      <c r="AN140" s="384"/>
      <c r="AO140" s="384"/>
      <c r="AP140" s="384"/>
      <c r="AQ140" s="384"/>
      <c r="AR140" s="384"/>
      <c r="AS140" s="384"/>
      <c r="AT140" s="384"/>
      <c r="AU140" s="384"/>
      <c r="AV140" s="384"/>
    </row>
    <row r="141" spans="1:48" ht="13.5" customHeight="1" x14ac:dyDescent="0.2">
      <c r="A141" s="563"/>
      <c r="B141" s="334"/>
      <c r="C141" s="127" t="s">
        <v>78</v>
      </c>
      <c r="D141" s="416"/>
      <c r="E141" s="416"/>
      <c r="F141" s="416"/>
      <c r="G141" s="416"/>
      <c r="H141" s="416"/>
      <c r="I141" s="416"/>
      <c r="J141" s="95"/>
      <c r="K141" s="95"/>
      <c r="L141" s="95"/>
      <c r="M141" s="95"/>
      <c r="N141" s="95"/>
      <c r="O141" s="95"/>
      <c r="P141" s="95"/>
      <c r="Q141" s="95"/>
      <c r="R141" s="95"/>
      <c r="S141" s="95"/>
      <c r="T141" s="95"/>
      <c r="U141" s="93"/>
      <c r="V141" s="93"/>
      <c r="W141" s="94"/>
      <c r="X141" s="95"/>
      <c r="Y141" s="96"/>
      <c r="Z141" s="96"/>
      <c r="AA141" s="96"/>
      <c r="AB141" s="96"/>
      <c r="AC141" s="96"/>
      <c r="AD141" s="96"/>
      <c r="AE141" s="96"/>
      <c r="AF141" s="96"/>
      <c r="AG141" s="96"/>
      <c r="AH141" s="417"/>
      <c r="AI141" s="593"/>
      <c r="AJ141" s="593"/>
      <c r="AK141" s="593"/>
      <c r="AL141" s="593"/>
      <c r="AM141" s="384"/>
      <c r="AN141" s="384"/>
      <c r="AO141" s="384"/>
      <c r="AP141" s="384"/>
      <c r="AQ141" s="384"/>
      <c r="AR141" s="384"/>
      <c r="AS141" s="384"/>
      <c r="AT141" s="384"/>
      <c r="AU141" s="384"/>
      <c r="AV141" s="384"/>
    </row>
    <row r="142" spans="1:48" ht="12" customHeight="1" x14ac:dyDescent="0.2">
      <c r="A142" s="564"/>
      <c r="B142" s="340"/>
      <c r="C142" s="102"/>
      <c r="D142" s="416"/>
      <c r="E142" s="199" t="s">
        <v>1061</v>
      </c>
      <c r="F142" s="416"/>
      <c r="G142" s="416"/>
      <c r="H142" s="416"/>
      <c r="I142" s="416"/>
      <c r="J142" s="416"/>
      <c r="K142" s="416"/>
      <c r="L142" s="416"/>
      <c r="M142" s="416"/>
      <c r="N142" s="416"/>
      <c r="O142" s="416"/>
      <c r="P142" s="416"/>
      <c r="Q142" s="416"/>
      <c r="R142" s="416"/>
      <c r="S142" s="199" t="s">
        <v>369</v>
      </c>
      <c r="T142" s="416"/>
      <c r="U142" s="416"/>
      <c r="V142" s="416"/>
      <c r="W142" s="416"/>
      <c r="X142" s="416"/>
      <c r="Y142" s="416"/>
      <c r="Z142" s="416"/>
      <c r="AA142" s="416"/>
      <c r="AB142" s="199"/>
      <c r="AC142" s="416"/>
      <c r="AD142" s="416"/>
      <c r="AE142" s="416"/>
      <c r="AF142" s="416"/>
      <c r="AG142" s="416"/>
      <c r="AH142" s="423"/>
      <c r="AI142" s="595"/>
      <c r="AJ142" s="593"/>
      <c r="AK142" s="593"/>
      <c r="AL142" s="593"/>
      <c r="AM142" s="384"/>
      <c r="AN142" s="384"/>
      <c r="AO142" s="384"/>
      <c r="AP142" s="384"/>
      <c r="AQ142" s="384"/>
      <c r="AR142" s="384"/>
      <c r="AS142" s="384"/>
      <c r="AT142" s="384"/>
      <c r="AU142" s="384"/>
      <c r="AV142" s="384"/>
    </row>
    <row r="143" spans="1:48" ht="1.5" customHeight="1" x14ac:dyDescent="0.2">
      <c r="A143" s="564"/>
      <c r="B143" s="340"/>
      <c r="C143" s="102"/>
      <c r="D143" s="416"/>
      <c r="E143" s="416"/>
      <c r="F143" s="416"/>
      <c r="G143" s="416"/>
      <c r="H143" s="416"/>
      <c r="I143" s="416"/>
      <c r="J143" s="416"/>
      <c r="K143" s="416"/>
      <c r="L143" s="416"/>
      <c r="M143" s="416"/>
      <c r="N143" s="416"/>
      <c r="O143" s="416"/>
      <c r="P143" s="416"/>
      <c r="Q143" s="416"/>
      <c r="R143" s="416"/>
      <c r="S143" s="416"/>
      <c r="T143" s="416"/>
      <c r="U143" s="416"/>
      <c r="V143" s="416"/>
      <c r="W143" s="416"/>
      <c r="X143" s="416"/>
      <c r="Y143" s="416"/>
      <c r="Z143" s="416"/>
      <c r="AA143" s="416"/>
      <c r="AB143" s="416"/>
      <c r="AC143" s="416"/>
      <c r="AD143" s="416"/>
      <c r="AE143" s="416"/>
      <c r="AF143" s="416"/>
      <c r="AG143" s="416"/>
      <c r="AH143" s="235"/>
      <c r="AI143" s="595"/>
      <c r="AJ143" s="594"/>
      <c r="AK143" s="593"/>
      <c r="AL143" s="593"/>
      <c r="AM143" s="384"/>
      <c r="AN143" s="384"/>
      <c r="AO143" s="384"/>
      <c r="AP143" s="384"/>
      <c r="AQ143" s="384"/>
      <c r="AR143" s="384"/>
      <c r="AS143" s="384"/>
      <c r="AT143" s="384"/>
      <c r="AU143" s="384"/>
      <c r="AV143" s="384"/>
    </row>
    <row r="144" spans="1:48" ht="15" customHeight="1" x14ac:dyDescent="0.2">
      <c r="A144" s="564"/>
      <c r="B144" s="340"/>
      <c r="C144" s="102"/>
      <c r="D144" s="416"/>
      <c r="E144" s="1238"/>
      <c r="F144" s="1239"/>
      <c r="G144" s="1239"/>
      <c r="H144" s="1239"/>
      <c r="I144" s="1239"/>
      <c r="J144" s="1239"/>
      <c r="K144" s="1239"/>
      <c r="L144" s="1239"/>
      <c r="M144" s="1239"/>
      <c r="N144" s="1239"/>
      <c r="O144" s="1239"/>
      <c r="P144" s="1240"/>
      <c r="Q144" s="1013"/>
      <c r="R144" s="1014"/>
      <c r="S144" s="1014"/>
      <c r="T144" s="1014"/>
      <c r="U144" s="1014"/>
      <c r="V144" s="1014"/>
      <c r="W144" s="1014"/>
      <c r="X144" s="1015"/>
      <c r="Y144" s="424" t="s">
        <v>380</v>
      </c>
      <c r="Z144" s="1013"/>
      <c r="AA144" s="1014"/>
      <c r="AB144" s="1014"/>
      <c r="AC144" s="1014"/>
      <c r="AD144" s="1014"/>
      <c r="AE144" s="1014"/>
      <c r="AF144" s="1014"/>
      <c r="AG144" s="1015"/>
      <c r="AH144" s="235"/>
      <c r="AI144" s="595"/>
      <c r="AJ144" s="593">
        <f>IF((COUNTBLANK(E144)+ COUNTBLANK(Q144)-AK146)=0, 1,0)</f>
        <v>0</v>
      </c>
      <c r="AK144" s="593">
        <f>IF(AF125="X", IF(AJ144=0,1,2),0)</f>
        <v>0</v>
      </c>
      <c r="AL144" s="593"/>
      <c r="AM144" s="375"/>
      <c r="AN144" s="375"/>
      <c r="AO144" s="375"/>
      <c r="AP144" s="384"/>
      <c r="AQ144" s="384"/>
      <c r="AR144" s="384"/>
      <c r="AS144" s="384"/>
      <c r="AT144" s="384"/>
      <c r="AU144" s="384"/>
      <c r="AV144" s="384"/>
    </row>
    <row r="145" spans="1:68" ht="2.25" customHeight="1" x14ac:dyDescent="0.2">
      <c r="A145" s="563"/>
      <c r="B145" s="334"/>
      <c r="C145" s="101"/>
      <c r="D145" s="416"/>
      <c r="E145" s="416"/>
      <c r="F145" s="416"/>
      <c r="G145" s="416"/>
      <c r="H145" s="416"/>
      <c r="I145" s="416"/>
      <c r="J145" s="95"/>
      <c r="K145" s="95"/>
      <c r="L145" s="95"/>
      <c r="M145" s="95"/>
      <c r="N145" s="95"/>
      <c r="O145" s="95"/>
      <c r="P145" s="95"/>
      <c r="Q145" s="95"/>
      <c r="R145" s="95"/>
      <c r="S145" s="95"/>
      <c r="T145" s="95"/>
      <c r="U145" s="93"/>
      <c r="V145" s="93"/>
      <c r="W145" s="94"/>
      <c r="X145" s="95"/>
      <c r="Y145" s="96"/>
      <c r="Z145" s="96"/>
      <c r="AA145" s="96"/>
      <c r="AB145" s="96"/>
      <c r="AC145" s="96"/>
      <c r="AD145" s="96"/>
      <c r="AE145" s="96"/>
      <c r="AF145" s="96"/>
      <c r="AG145" s="96"/>
      <c r="AH145" s="417"/>
      <c r="AI145" s="593"/>
      <c r="AJ145" s="594"/>
      <c r="AK145" s="593"/>
      <c r="AL145" s="593"/>
      <c r="AM145" s="375"/>
      <c r="AN145" s="375"/>
      <c r="AO145" s="375"/>
      <c r="AP145" s="384"/>
      <c r="AQ145" s="384"/>
      <c r="AR145" s="384"/>
      <c r="AS145" s="384"/>
      <c r="AT145" s="384"/>
      <c r="AU145" s="384"/>
      <c r="AV145" s="384"/>
    </row>
    <row r="146" spans="1:68" ht="13.15" customHeight="1" x14ac:dyDescent="0.2">
      <c r="A146" s="564"/>
      <c r="B146" s="340"/>
      <c r="C146" s="102"/>
      <c r="D146" s="416"/>
      <c r="E146" s="78" t="s">
        <v>1010</v>
      </c>
      <c r="F146" s="416"/>
      <c r="G146" s="416"/>
      <c r="H146" s="416"/>
      <c r="I146" s="416"/>
      <c r="J146" s="1006"/>
      <c r="K146" s="1007"/>
      <c r="L146" s="1007"/>
      <c r="M146" s="1007"/>
      <c r="N146" s="1007"/>
      <c r="O146" s="1007"/>
      <c r="P146" s="1007"/>
      <c r="Q146" s="1007"/>
      <c r="R146" s="1007"/>
      <c r="S146" s="1007"/>
      <c r="T146" s="1007"/>
      <c r="U146" s="1007"/>
      <c r="V146" s="1007"/>
      <c r="W146" s="1007"/>
      <c r="X146" s="1007"/>
      <c r="Y146" s="1007"/>
      <c r="Z146" s="1007"/>
      <c r="AA146" s="1007"/>
      <c r="AB146" s="1007"/>
      <c r="AC146" s="1007"/>
      <c r="AD146" s="1007"/>
      <c r="AE146" s="1007"/>
      <c r="AF146" s="1007"/>
      <c r="AG146" s="1008"/>
      <c r="AH146" s="235"/>
      <c r="AI146" s="595"/>
      <c r="AK146" s="593">
        <f>IF(E144="Other statement", IF(COUNTBLANK(J146)&gt;0,1,0),0)</f>
        <v>0</v>
      </c>
      <c r="AL146" s="593"/>
      <c r="AM146" s="375"/>
      <c r="AN146" s="375"/>
      <c r="AO146" s="375"/>
      <c r="AP146" s="384"/>
      <c r="AQ146" s="384"/>
      <c r="AR146" s="384"/>
      <c r="AS146" s="384"/>
      <c r="AT146" s="384"/>
      <c r="AU146" s="384"/>
      <c r="AV146" s="384"/>
    </row>
    <row r="147" spans="1:68" ht="15" customHeight="1" x14ac:dyDescent="0.2">
      <c r="A147" s="556"/>
      <c r="B147" s="334"/>
      <c r="C147" s="78" t="s">
        <v>913</v>
      </c>
      <c r="D147" s="199"/>
      <c r="E147" s="78"/>
      <c r="F147" s="199"/>
      <c r="G147" s="416"/>
      <c r="H147" s="416"/>
      <c r="I147" s="416"/>
      <c r="J147" s="95"/>
      <c r="K147" s="95"/>
      <c r="L147" s="95"/>
      <c r="M147" s="95"/>
      <c r="N147" s="95"/>
      <c r="O147" s="95"/>
      <c r="P147" s="95"/>
      <c r="Q147" s="95"/>
      <c r="R147" s="95"/>
      <c r="S147" s="95"/>
      <c r="T147" s="95"/>
      <c r="U147" s="93"/>
      <c r="V147" s="93"/>
      <c r="W147" s="94"/>
      <c r="X147" s="95"/>
      <c r="Y147" s="177" t="s">
        <v>77</v>
      </c>
      <c r="Z147" s="1012" t="str">
        <f>IF(Q144="", "country where origin claimed",Q144)</f>
        <v>country where origin claimed</v>
      </c>
      <c r="AA147" s="1012"/>
      <c r="AB147" s="1012"/>
      <c r="AC147" s="1012"/>
      <c r="AD147" s="1012"/>
      <c r="AE147" s="1012"/>
      <c r="AF147" s="1012"/>
      <c r="AG147" s="1012"/>
      <c r="AH147" s="417"/>
      <c r="AI147" s="593"/>
      <c r="AJ147" s="594"/>
      <c r="AK147" s="593"/>
      <c r="AL147" s="593"/>
      <c r="AM147" s="375"/>
      <c r="AN147" s="375"/>
      <c r="AO147" s="375"/>
      <c r="AP147" s="384"/>
      <c r="AQ147" s="384"/>
      <c r="AR147" s="384"/>
      <c r="AS147" s="384"/>
      <c r="AT147" s="384"/>
      <c r="AU147" s="384"/>
      <c r="AV147" s="384"/>
    </row>
    <row r="148" spans="1:68" ht="13.5" customHeight="1" x14ac:dyDescent="0.2">
      <c r="A148" s="556"/>
      <c r="B148" s="334"/>
      <c r="C148" s="268"/>
      <c r="D148" s="416"/>
      <c r="E148" s="416"/>
      <c r="F148" s="416"/>
      <c r="G148" s="416"/>
      <c r="H148" s="416"/>
      <c r="I148" s="416"/>
      <c r="J148" s="95"/>
      <c r="K148" s="95"/>
      <c r="L148" s="95"/>
      <c r="M148" s="95"/>
      <c r="N148" s="95"/>
      <c r="O148" s="95"/>
      <c r="P148" s="95"/>
      <c r="Q148" s="95"/>
      <c r="R148" s="95"/>
      <c r="S148" s="95"/>
      <c r="T148" s="95"/>
      <c r="U148" s="93"/>
      <c r="V148" s="93"/>
      <c r="W148" s="94"/>
      <c r="X148" s="95"/>
      <c r="Y148" s="96"/>
      <c r="Z148" s="96"/>
      <c r="AA148" s="96"/>
      <c r="AB148" s="177" t="s">
        <v>81</v>
      </c>
      <c r="AC148" s="1010"/>
      <c r="AD148" s="1011"/>
      <c r="AE148" s="106" t="s">
        <v>697</v>
      </c>
      <c r="AF148" s="96"/>
      <c r="AG148" s="96"/>
      <c r="AH148" s="417"/>
      <c r="AI148" s="593"/>
      <c r="AJ148" s="594">
        <f>IF(B136&gt;=1, IF(B136&lt;=2, 1, IF(AC148&gt;"A",1, IF(AC150&gt;"A", 1,0))),0)</f>
        <v>0</v>
      </c>
      <c r="AK148" s="593">
        <f>IF(AF125="X",  IF(AJ148=0,1,2),0)</f>
        <v>0</v>
      </c>
      <c r="AL148" s="593"/>
      <c r="AM148" s="375">
        <f>B136</f>
        <v>0</v>
      </c>
      <c r="AN148" s="375"/>
      <c r="AO148" s="375"/>
      <c r="AP148" s="384"/>
      <c r="AQ148" s="384"/>
      <c r="AR148" s="384"/>
      <c r="AS148" s="384"/>
      <c r="AT148" s="384"/>
      <c r="AU148" s="384"/>
      <c r="AV148" s="384"/>
    </row>
    <row r="149" spans="1:68" ht="1.5" customHeight="1" x14ac:dyDescent="0.2">
      <c r="A149" s="556"/>
      <c r="B149" s="334"/>
      <c r="C149" s="268"/>
      <c r="D149" s="416"/>
      <c r="E149" s="416"/>
      <c r="F149" s="416"/>
      <c r="G149" s="416"/>
      <c r="H149" s="416"/>
      <c r="I149" s="416"/>
      <c r="J149" s="95"/>
      <c r="K149" s="95"/>
      <c r="L149" s="95"/>
      <c r="M149" s="95"/>
      <c r="N149" s="95"/>
      <c r="O149" s="95"/>
      <c r="P149" s="95"/>
      <c r="Q149" s="95"/>
      <c r="R149" s="95"/>
      <c r="S149" s="95"/>
      <c r="T149" s="95"/>
      <c r="U149" s="93"/>
      <c r="V149" s="93"/>
      <c r="W149" s="94"/>
      <c r="X149" s="95"/>
      <c r="Y149" s="96"/>
      <c r="Z149" s="96"/>
      <c r="AA149" s="96"/>
      <c r="AB149" s="96"/>
      <c r="AC149" s="96"/>
      <c r="AD149" s="96"/>
      <c r="AE149" s="96"/>
      <c r="AF149" s="96"/>
      <c r="AG149" s="96"/>
      <c r="AH149" s="417"/>
      <c r="AI149" s="593"/>
      <c r="AJ149" s="594"/>
      <c r="AK149" s="593"/>
      <c r="AL149" s="593"/>
      <c r="AM149" s="375"/>
      <c r="AN149" s="375"/>
      <c r="AO149" s="375"/>
      <c r="AP149" s="384"/>
      <c r="AQ149" s="384"/>
      <c r="AR149" s="384"/>
      <c r="AS149" s="384"/>
      <c r="AT149" s="384"/>
      <c r="AU149" s="384"/>
      <c r="AV149" s="384"/>
    </row>
    <row r="150" spans="1:68" ht="13.5" customHeight="1" x14ac:dyDescent="0.2">
      <c r="A150" s="556">
        <f>IF(E144="Product of",10, IF(AC150="No", IF(AC148="Yes",10,1), IF(AC150="Yes", IF(AC148="Yes",10,1), IF(AC148&gt;"A",10,0))))</f>
        <v>0</v>
      </c>
      <c r="B150" s="334"/>
      <c r="C150" s="268"/>
      <c r="D150" s="416"/>
      <c r="E150" s="416"/>
      <c r="F150" s="416"/>
      <c r="G150" s="416"/>
      <c r="H150" s="416"/>
      <c r="I150" s="416"/>
      <c r="J150" s="95"/>
      <c r="K150" s="95"/>
      <c r="L150" s="95"/>
      <c r="M150" s="95"/>
      <c r="N150" s="95"/>
      <c r="O150" s="95"/>
      <c r="P150" s="95"/>
      <c r="Q150" s="95"/>
      <c r="R150" s="95"/>
      <c r="S150" s="95"/>
      <c r="T150" s="95"/>
      <c r="U150" s="93"/>
      <c r="V150" s="93"/>
      <c r="W150" s="94"/>
      <c r="X150" s="95"/>
      <c r="Y150" s="96"/>
      <c r="Z150" s="96"/>
      <c r="AA150" s="96"/>
      <c r="AB150" s="177" t="s">
        <v>187</v>
      </c>
      <c r="AC150" s="1010"/>
      <c r="AD150" s="1011"/>
      <c r="AE150" s="106" t="s">
        <v>697</v>
      </c>
      <c r="AF150" s="96"/>
      <c r="AG150" s="96"/>
      <c r="AH150" s="417"/>
      <c r="AI150" s="593"/>
      <c r="AJ150" s="596"/>
      <c r="AK150" s="593"/>
      <c r="AL150" s="593"/>
      <c r="AM150" s="375"/>
      <c r="AN150" s="375"/>
      <c r="AO150" s="375"/>
      <c r="AP150" s="384"/>
      <c r="AQ150" s="384"/>
      <c r="AR150" s="384"/>
      <c r="AS150" s="384"/>
      <c r="AT150" s="384"/>
      <c r="AU150" s="384"/>
      <c r="AV150" s="384"/>
    </row>
    <row r="151" spans="1:68" ht="1.5" customHeight="1" x14ac:dyDescent="0.2">
      <c r="A151" s="556"/>
      <c r="B151" s="334"/>
      <c r="C151" s="268"/>
      <c r="D151" s="416"/>
      <c r="E151" s="416"/>
      <c r="F151" s="416"/>
      <c r="G151" s="416"/>
      <c r="H151" s="416"/>
      <c r="I151" s="416"/>
      <c r="J151" s="95"/>
      <c r="K151" s="95"/>
      <c r="L151" s="95"/>
      <c r="M151" s="95"/>
      <c r="N151" s="95"/>
      <c r="O151" s="95"/>
      <c r="P151" s="95"/>
      <c r="Q151" s="95"/>
      <c r="R151" s="95"/>
      <c r="S151" s="95"/>
      <c r="T151" s="95"/>
      <c r="U151" s="93"/>
      <c r="V151" s="93"/>
      <c r="W151" s="94"/>
      <c r="X151" s="95"/>
      <c r="Y151" s="96"/>
      <c r="Z151" s="96"/>
      <c r="AA151" s="96"/>
      <c r="AB151" s="96"/>
      <c r="AC151" s="96"/>
      <c r="AD151" s="96"/>
      <c r="AE151" s="96"/>
      <c r="AF151" s="96"/>
      <c r="AG151" s="96"/>
      <c r="AH151" s="417"/>
      <c r="AI151" s="593"/>
      <c r="AJ151" s="594"/>
      <c r="AK151" s="593"/>
      <c r="AL151" s="593"/>
      <c r="AM151" s="375"/>
      <c r="AN151" s="375"/>
      <c r="AO151" s="375"/>
      <c r="AP151" s="384"/>
      <c r="AQ151" s="384"/>
      <c r="AR151" s="384"/>
      <c r="AS151" s="384"/>
      <c r="AT151" s="384"/>
      <c r="AU151" s="384"/>
      <c r="AV151" s="384"/>
    </row>
    <row r="152" spans="1:68" ht="12.75" customHeight="1" x14ac:dyDescent="0.2">
      <c r="A152" s="563"/>
      <c r="B152" s="334"/>
      <c r="C152" s="86" t="s">
        <v>79</v>
      </c>
      <c r="D152" s="416"/>
      <c r="E152" s="127" t="s">
        <v>912</v>
      </c>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96"/>
      <c r="AC152" s="96"/>
      <c r="AD152" s="96"/>
      <c r="AE152" s="96"/>
      <c r="AF152" s="96"/>
      <c r="AG152" s="96"/>
      <c r="AH152" s="417"/>
      <c r="AI152" s="593"/>
      <c r="AJ152" s="594">
        <f>IF(AC153="Yes", IF(COUNTA(E156,O156,Y156,E158,O158,Y158)&gt;1,1,0), IF(AC153="No",1,0))</f>
        <v>0</v>
      </c>
      <c r="AK152" s="593">
        <f>IF(AF125="X", IF(AJ152=0,1,2),0)</f>
        <v>0</v>
      </c>
      <c r="AL152" s="593"/>
      <c r="AM152" s="375"/>
      <c r="AN152" s="375"/>
      <c r="AO152" s="375"/>
      <c r="AP152" s="384"/>
      <c r="AQ152" s="384"/>
      <c r="AR152" s="384"/>
      <c r="AS152" s="384"/>
      <c r="AT152" s="384"/>
      <c r="AU152" s="384"/>
      <c r="AV152" s="384"/>
    </row>
    <row r="153" spans="1:68" ht="13.5" customHeight="1" x14ac:dyDescent="0.2">
      <c r="A153" s="563"/>
      <c r="B153" s="334"/>
      <c r="C153" s="151"/>
      <c r="D153" s="416"/>
      <c r="E153" s="258" t="s">
        <v>903</v>
      </c>
      <c r="F153" s="235"/>
      <c r="G153" s="235"/>
      <c r="H153" s="235"/>
      <c r="I153" s="235"/>
      <c r="J153" s="235"/>
      <c r="K153" s="235"/>
      <c r="L153" s="425"/>
      <c r="M153" s="235"/>
      <c r="N153" s="235"/>
      <c r="O153" s="235"/>
      <c r="P153" s="235"/>
      <c r="Q153" s="235"/>
      <c r="R153" s="235"/>
      <c r="S153" s="235"/>
      <c r="T153" s="235"/>
      <c r="U153" s="235"/>
      <c r="V153" s="235"/>
      <c r="W153" s="235"/>
      <c r="X153" s="235"/>
      <c r="Y153" s="235"/>
      <c r="Z153" s="235"/>
      <c r="AA153" s="235"/>
      <c r="AB153" s="96"/>
      <c r="AC153" s="745"/>
      <c r="AD153" s="770"/>
      <c r="AE153" s="106" t="s">
        <v>697</v>
      </c>
      <c r="AF153" s="96"/>
      <c r="AG153" s="96"/>
      <c r="AH153" s="417"/>
      <c r="AI153" s="593"/>
      <c r="AK153" s="593"/>
      <c r="AL153" s="593"/>
      <c r="AM153" s="375">
        <f>COUNTA(E156,O156,Y156,E158,O158,Y158)</f>
        <v>0</v>
      </c>
      <c r="AN153" s="375"/>
      <c r="AO153" s="375"/>
      <c r="AP153" s="384"/>
      <c r="AQ153" s="384"/>
      <c r="AR153" s="384"/>
      <c r="AS153" s="384"/>
      <c r="AT153" s="384"/>
      <c r="AU153" s="384"/>
      <c r="AV153" s="384"/>
    </row>
    <row r="154" spans="1:68" ht="12" customHeight="1" x14ac:dyDescent="0.2">
      <c r="A154" s="565"/>
      <c r="B154" s="334"/>
      <c r="C154" s="151"/>
      <c r="D154" s="416"/>
      <c r="E154" s="1361" t="s">
        <v>904</v>
      </c>
      <c r="F154" s="1361"/>
      <c r="G154" s="1361"/>
      <c r="H154" s="1361"/>
      <c r="I154" s="1361"/>
      <c r="J154" s="1361"/>
      <c r="K154" s="1361"/>
      <c r="L154" s="1361"/>
      <c r="M154" s="1361"/>
      <c r="N154" s="1361"/>
      <c r="O154" s="1361"/>
      <c r="P154" s="1361"/>
      <c r="Q154" s="1361"/>
      <c r="R154" s="1361"/>
      <c r="S154" s="1361"/>
      <c r="T154" s="1361"/>
      <c r="U154" s="1361"/>
      <c r="V154" s="1361"/>
      <c r="W154" s="1361"/>
      <c r="X154" s="1361"/>
      <c r="Y154" s="1361"/>
      <c r="Z154" s="1361"/>
      <c r="AA154" s="1361"/>
      <c r="AB154" s="1361"/>
      <c r="AC154" s="1361"/>
      <c r="AD154" s="1361"/>
      <c r="AE154" s="1361"/>
      <c r="AF154" s="1361"/>
      <c r="AG154" s="1361"/>
      <c r="AH154" s="417"/>
      <c r="AI154" s="593"/>
      <c r="AK154" s="593"/>
      <c r="AL154" s="593"/>
      <c r="AM154" s="375"/>
      <c r="AN154" s="375"/>
      <c r="AO154" s="375"/>
      <c r="AP154" s="384"/>
      <c r="AQ154" s="384"/>
      <c r="AR154" s="384"/>
      <c r="AS154" s="384"/>
      <c r="AT154" s="384"/>
      <c r="AU154" s="384"/>
      <c r="AV154" s="384"/>
    </row>
    <row r="155" spans="1:68" ht="2.25" customHeight="1" x14ac:dyDescent="0.2">
      <c r="A155" s="565"/>
      <c r="B155" s="334"/>
      <c r="C155" s="102"/>
      <c r="D155" s="416"/>
      <c r="E155" s="416"/>
      <c r="F155" s="416"/>
      <c r="G155" s="416"/>
      <c r="H155" s="416"/>
      <c r="I155" s="416"/>
      <c r="J155" s="416"/>
      <c r="K155" s="416"/>
      <c r="L155" s="416"/>
      <c r="M155" s="416"/>
      <c r="N155" s="416"/>
      <c r="O155" s="416"/>
      <c r="P155" s="416"/>
      <c r="Q155" s="416"/>
      <c r="R155" s="416"/>
      <c r="S155" s="416"/>
      <c r="T155" s="416"/>
      <c r="U155" s="416"/>
      <c r="V155" s="416"/>
      <c r="W155" s="416"/>
      <c r="X155" s="416"/>
      <c r="Y155" s="416"/>
      <c r="Z155" s="416"/>
      <c r="AA155" s="416"/>
      <c r="AB155" s="416"/>
      <c r="AC155" s="416"/>
      <c r="AD155" s="416"/>
      <c r="AE155" s="416"/>
      <c r="AF155" s="416"/>
      <c r="AG155" s="416"/>
      <c r="AH155" s="423"/>
      <c r="AI155" s="596"/>
      <c r="AJ155" s="594"/>
      <c r="AK155" s="593"/>
      <c r="AL155" s="593"/>
      <c r="AM155" s="384"/>
      <c r="AN155" s="384"/>
      <c r="AO155" s="384"/>
      <c r="AP155" s="384"/>
      <c r="AQ155" s="384"/>
      <c r="AR155" s="384"/>
      <c r="AS155" s="384"/>
      <c r="AT155" s="384"/>
      <c r="AU155" s="384"/>
      <c r="AV155" s="384"/>
    </row>
    <row r="156" spans="1:68" ht="16.5" customHeight="1" x14ac:dyDescent="0.2">
      <c r="A156" s="566"/>
      <c r="B156" s="342"/>
      <c r="C156" s="102"/>
      <c r="D156" s="416"/>
      <c r="E156" s="999"/>
      <c r="F156" s="1000"/>
      <c r="G156" s="1000"/>
      <c r="H156" s="1000"/>
      <c r="I156" s="1000"/>
      <c r="J156" s="1000"/>
      <c r="K156" s="1000"/>
      <c r="L156" s="1000"/>
      <c r="M156" s="1001"/>
      <c r="N156" s="416"/>
      <c r="O156" s="999"/>
      <c r="P156" s="1000"/>
      <c r="Q156" s="1000"/>
      <c r="R156" s="1000"/>
      <c r="S156" s="1000"/>
      <c r="T156" s="1000"/>
      <c r="U156" s="1000"/>
      <c r="V156" s="1000"/>
      <c r="W156" s="1001"/>
      <c r="X156" s="416"/>
      <c r="Y156" s="999"/>
      <c r="Z156" s="1000"/>
      <c r="AA156" s="1000"/>
      <c r="AB156" s="1000"/>
      <c r="AC156" s="1000"/>
      <c r="AD156" s="1000"/>
      <c r="AE156" s="1000"/>
      <c r="AF156" s="1000"/>
      <c r="AG156" s="1001"/>
      <c r="AH156" s="423"/>
      <c r="AI156" s="593"/>
      <c r="AJ156" s="593"/>
      <c r="AK156" s="593"/>
      <c r="AL156" s="593"/>
      <c r="AM156" s="384"/>
      <c r="AN156" s="384"/>
      <c r="AO156" s="384"/>
      <c r="AP156" s="384"/>
      <c r="AQ156" s="384"/>
      <c r="AR156" s="384"/>
      <c r="AS156" s="384"/>
      <c r="AT156" s="384"/>
      <c r="AU156" s="384"/>
      <c r="AV156" s="384"/>
    </row>
    <row r="157" spans="1:68" ht="2.25" customHeight="1" x14ac:dyDescent="0.2">
      <c r="A157" s="566"/>
      <c r="B157" s="342"/>
      <c r="C157" s="102"/>
      <c r="D157" s="416"/>
      <c r="E157" s="416"/>
      <c r="F157" s="416"/>
      <c r="G157" s="416"/>
      <c r="H157" s="416"/>
      <c r="I157" s="416"/>
      <c r="J157" s="416"/>
      <c r="K157" s="416"/>
      <c r="L157" s="416"/>
      <c r="M157" s="416"/>
      <c r="N157" s="416"/>
      <c r="O157" s="416"/>
      <c r="P157" s="416"/>
      <c r="Q157" s="416"/>
      <c r="R157" s="416"/>
      <c r="S157" s="416"/>
      <c r="T157" s="416"/>
      <c r="U157" s="416"/>
      <c r="V157" s="416"/>
      <c r="W157" s="416"/>
      <c r="X157" s="416"/>
      <c r="Y157" s="416"/>
      <c r="Z157" s="416"/>
      <c r="AA157" s="416"/>
      <c r="AB157" s="416"/>
      <c r="AC157" s="416"/>
      <c r="AD157" s="416"/>
      <c r="AE157" s="416"/>
      <c r="AF157" s="416"/>
      <c r="AG157" s="416"/>
      <c r="AH157" s="423"/>
      <c r="AI157" s="596"/>
      <c r="AJ157" s="594"/>
      <c r="AK157" s="593"/>
      <c r="AL157" s="593"/>
      <c r="AM157" s="384"/>
      <c r="AN157" s="384"/>
      <c r="AO157" s="384"/>
      <c r="AP157" s="384"/>
      <c r="AQ157" s="384"/>
      <c r="AR157" s="384"/>
      <c r="AS157" s="384"/>
      <c r="AT157" s="384"/>
      <c r="AU157" s="384"/>
      <c r="AV157" s="384"/>
    </row>
    <row r="158" spans="1:68" ht="17.25" customHeight="1" x14ac:dyDescent="0.2">
      <c r="A158" s="566"/>
      <c r="B158" s="342"/>
      <c r="C158" s="102"/>
      <c r="D158" s="416"/>
      <c r="E158" s="999"/>
      <c r="F158" s="1000"/>
      <c r="G158" s="1000"/>
      <c r="H158" s="1000"/>
      <c r="I158" s="1000"/>
      <c r="J158" s="1000"/>
      <c r="K158" s="1000"/>
      <c r="L158" s="1000"/>
      <c r="M158" s="1001"/>
      <c r="N158" s="416"/>
      <c r="O158" s="999"/>
      <c r="P158" s="1000"/>
      <c r="Q158" s="1000"/>
      <c r="R158" s="1000"/>
      <c r="S158" s="1000"/>
      <c r="T158" s="1000"/>
      <c r="U158" s="1000"/>
      <c r="V158" s="1000"/>
      <c r="W158" s="1001"/>
      <c r="X158" s="416"/>
      <c r="Y158" s="999"/>
      <c r="Z158" s="1000"/>
      <c r="AA158" s="1000"/>
      <c r="AB158" s="1000"/>
      <c r="AC158" s="1000"/>
      <c r="AD158" s="1000"/>
      <c r="AE158" s="1000"/>
      <c r="AF158" s="1000"/>
      <c r="AG158" s="1001"/>
      <c r="AH158" s="423"/>
      <c r="AI158" s="596"/>
      <c r="AJ158" s="594"/>
      <c r="AK158" s="593"/>
      <c r="AL158" s="593"/>
      <c r="AM158" s="384"/>
      <c r="AN158" s="384"/>
      <c r="AO158" s="384"/>
      <c r="AP158" s="384"/>
      <c r="AQ158" s="384"/>
      <c r="AR158" s="384"/>
      <c r="AS158" s="384"/>
      <c r="AT158" s="384"/>
      <c r="AU158" s="384"/>
      <c r="AV158" s="384"/>
    </row>
    <row r="159" spans="1:68" ht="2.25" customHeight="1" x14ac:dyDescent="0.2">
      <c r="A159" s="566"/>
      <c r="B159" s="342"/>
      <c r="C159" s="102"/>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23"/>
      <c r="AI159" s="596"/>
      <c r="AJ159" s="594"/>
      <c r="AK159" s="593"/>
      <c r="AL159" s="593"/>
      <c r="AM159" s="384"/>
      <c r="AN159" s="384"/>
      <c r="AO159" s="384"/>
      <c r="AP159" s="384"/>
      <c r="AQ159" s="384"/>
      <c r="AR159" s="384"/>
      <c r="AS159" s="384"/>
      <c r="AT159" s="384"/>
      <c r="AU159" s="384"/>
      <c r="AV159" s="384"/>
    </row>
    <row r="160" spans="1:68" s="75" customFormat="1" ht="16.5" customHeight="1" x14ac:dyDescent="0.2">
      <c r="A160" s="563"/>
      <c r="B160" s="334"/>
      <c r="C160" s="127" t="s">
        <v>80</v>
      </c>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92"/>
      <c r="Z160" s="92"/>
      <c r="AA160" s="92"/>
      <c r="AB160" s="92"/>
      <c r="AC160" s="128"/>
      <c r="AD160" s="416"/>
      <c r="AE160" s="92"/>
      <c r="AF160" s="92"/>
      <c r="AG160" s="92"/>
      <c r="AH160" s="427"/>
      <c r="AI160" s="596"/>
      <c r="AJ160" s="593"/>
      <c r="AK160" s="593"/>
      <c r="AL160" s="593"/>
      <c r="AM160" s="384"/>
      <c r="AN160" s="384"/>
      <c r="AO160" s="384"/>
      <c r="AP160" s="384"/>
      <c r="AQ160" s="384"/>
      <c r="AR160" s="384"/>
      <c r="AS160" s="384"/>
      <c r="AT160" s="384"/>
      <c r="AU160" s="384"/>
      <c r="AV160" s="384"/>
      <c r="AW160" s="370"/>
      <c r="AX160" s="370"/>
      <c r="AY160" s="370"/>
      <c r="AZ160" s="370"/>
      <c r="BA160" s="370"/>
      <c r="BB160" s="370"/>
      <c r="BC160" s="370"/>
      <c r="BD160" s="370"/>
      <c r="BE160" s="370"/>
      <c r="BF160" s="370"/>
      <c r="BG160" s="370"/>
      <c r="BH160" s="370"/>
      <c r="BI160" s="370"/>
      <c r="BJ160" s="370"/>
      <c r="BK160" s="370"/>
      <c r="BL160" s="370"/>
      <c r="BM160" s="370"/>
      <c r="BN160" s="370"/>
      <c r="BO160" s="370"/>
      <c r="BP160" s="370"/>
    </row>
    <row r="161" spans="1:48" ht="13.5" customHeight="1" x14ac:dyDescent="0.2">
      <c r="A161" s="563"/>
      <c r="B161" s="334"/>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92"/>
      <c r="Z161" s="177"/>
      <c r="AA161" s="177"/>
      <c r="AB161" s="177" t="s">
        <v>507</v>
      </c>
      <c r="AC161" s="1010"/>
      <c r="AD161" s="1011"/>
      <c r="AE161" s="106" t="s">
        <v>697</v>
      </c>
      <c r="AF161" s="92"/>
      <c r="AG161" s="92"/>
      <c r="AH161" s="427"/>
      <c r="AI161" s="596"/>
      <c r="AJ161" s="594">
        <f>IF(B136&gt;=1, IF(B136&lt;=2, 1, IF(COUNTA(AC161:AC167)&gt;=3,1,0)),0)</f>
        <v>0</v>
      </c>
      <c r="AK161" s="593">
        <f>IF(AF125="X",  IF(AJ161=0,1,2),0)</f>
        <v>0</v>
      </c>
      <c r="AL161" s="593"/>
      <c r="AM161" s="384"/>
      <c r="AN161" s="384"/>
      <c r="AO161" s="384"/>
      <c r="AP161" s="384"/>
      <c r="AQ161" s="384"/>
      <c r="AR161" s="384"/>
      <c r="AS161" s="384"/>
      <c r="AT161" s="384"/>
      <c r="AU161" s="384"/>
      <c r="AV161" s="384"/>
    </row>
    <row r="162" spans="1:48" ht="1.5" customHeight="1" x14ac:dyDescent="0.2">
      <c r="A162" s="563"/>
      <c r="B162" s="334"/>
      <c r="C162" s="428"/>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92"/>
      <c r="Z162" s="92"/>
      <c r="AA162" s="92"/>
      <c r="AB162" s="92"/>
      <c r="AC162" s="92"/>
      <c r="AD162" s="92"/>
      <c r="AE162" s="92"/>
      <c r="AF162" s="92"/>
      <c r="AG162" s="92"/>
      <c r="AH162" s="427"/>
      <c r="AI162" s="595"/>
      <c r="AJ162" s="594"/>
      <c r="AK162" s="593"/>
      <c r="AL162" s="593"/>
      <c r="AM162" s="384"/>
      <c r="AN162" s="384"/>
      <c r="AO162" s="384"/>
      <c r="AP162" s="384"/>
      <c r="AQ162" s="384"/>
      <c r="AR162" s="384"/>
      <c r="AS162" s="384"/>
      <c r="AT162" s="384"/>
      <c r="AU162" s="384"/>
      <c r="AV162" s="384"/>
    </row>
    <row r="163" spans="1:48" ht="12" customHeight="1" x14ac:dyDescent="0.2">
      <c r="A163" s="563"/>
      <c r="B163" s="334"/>
      <c r="C163" s="428"/>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92"/>
      <c r="Z163" s="92"/>
      <c r="AA163" s="92"/>
      <c r="AB163" s="177" t="s">
        <v>371</v>
      </c>
      <c r="AC163" s="1010"/>
      <c r="AD163" s="1011"/>
      <c r="AE163" s="106" t="s">
        <v>697</v>
      </c>
      <c r="AF163" s="92"/>
      <c r="AG163" s="92"/>
      <c r="AH163" s="427"/>
      <c r="AI163" s="595"/>
      <c r="AK163" s="593"/>
      <c r="AL163" s="593"/>
      <c r="AM163" s="384"/>
      <c r="AN163" s="384"/>
      <c r="AO163" s="384"/>
      <c r="AP163" s="384"/>
      <c r="AQ163" s="384"/>
      <c r="AR163" s="384"/>
      <c r="AS163" s="384"/>
      <c r="AT163" s="384"/>
      <c r="AU163" s="384"/>
      <c r="AV163" s="384"/>
    </row>
    <row r="164" spans="1:48" ht="1.5" customHeight="1" x14ac:dyDescent="0.2">
      <c r="A164" s="563"/>
      <c r="B164" s="334"/>
      <c r="C164" s="428"/>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92"/>
      <c r="Z164" s="92"/>
      <c r="AA164" s="92"/>
      <c r="AB164" s="92"/>
      <c r="AC164" s="92"/>
      <c r="AD164" s="92"/>
      <c r="AE164" s="92"/>
      <c r="AF164" s="92"/>
      <c r="AG164" s="92"/>
      <c r="AH164" s="427"/>
      <c r="AI164" s="595"/>
      <c r="AJ164" s="594"/>
      <c r="AK164" s="593"/>
      <c r="AL164" s="593"/>
      <c r="AM164" s="384"/>
      <c r="AN164" s="384"/>
      <c r="AO164" s="384"/>
      <c r="AP164" s="384"/>
      <c r="AQ164" s="384"/>
      <c r="AR164" s="384"/>
      <c r="AS164" s="384"/>
      <c r="AT164" s="384"/>
      <c r="AU164" s="384"/>
      <c r="AV164" s="384"/>
    </row>
    <row r="165" spans="1:48" ht="12.75" customHeight="1" x14ac:dyDescent="0.2">
      <c r="A165" s="563"/>
      <c r="B165" s="334"/>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92"/>
      <c r="Z165" s="177"/>
      <c r="AA165" s="177"/>
      <c r="AB165" s="177" t="s">
        <v>372</v>
      </c>
      <c r="AC165" s="1010"/>
      <c r="AD165" s="1011"/>
      <c r="AE165" s="106" t="s">
        <v>697</v>
      </c>
      <c r="AF165" s="235"/>
      <c r="AG165" s="92"/>
      <c r="AH165" s="427"/>
      <c r="AI165" s="595"/>
      <c r="AK165" s="593"/>
      <c r="AL165" s="593"/>
      <c r="AM165" s="384"/>
      <c r="AN165" s="384"/>
      <c r="AO165" s="384"/>
      <c r="AP165" s="384"/>
      <c r="AQ165" s="384"/>
      <c r="AR165" s="384"/>
      <c r="AS165" s="384"/>
      <c r="AT165" s="384"/>
      <c r="AU165" s="384"/>
      <c r="AV165" s="384"/>
    </row>
    <row r="166" spans="1:48" ht="1.5" customHeight="1" x14ac:dyDescent="0.2">
      <c r="A166" s="563"/>
      <c r="B166" s="343"/>
      <c r="C166" s="1231"/>
      <c r="D166" s="1231"/>
      <c r="E166" s="1231"/>
      <c r="F166" s="1231"/>
      <c r="G166" s="1231"/>
      <c r="H166" s="1231"/>
      <c r="I166" s="1231"/>
      <c r="J166" s="1231"/>
      <c r="K166" s="1231"/>
      <c r="L166" s="1231"/>
      <c r="M166" s="1231"/>
      <c r="N166" s="1231"/>
      <c r="O166" s="1231"/>
      <c r="P166" s="1231"/>
      <c r="Q166" s="1231"/>
      <c r="R166" s="1231"/>
      <c r="S166" s="1231"/>
      <c r="T166" s="1231"/>
      <c r="U166" s="1231"/>
      <c r="V166" s="1231"/>
      <c r="W166" s="1231"/>
      <c r="X166" s="1231"/>
      <c r="Y166" s="92"/>
      <c r="Z166" s="92"/>
      <c r="AA166" s="92"/>
      <c r="AB166" s="92"/>
      <c r="AC166" s="92"/>
      <c r="AD166" s="92"/>
      <c r="AE166" s="235"/>
      <c r="AF166" s="235"/>
      <c r="AG166" s="92"/>
      <c r="AH166" s="427"/>
      <c r="AI166" s="593"/>
      <c r="AJ166" s="594"/>
      <c r="AK166" s="593"/>
      <c r="AL166" s="593"/>
      <c r="AM166" s="384"/>
      <c r="AN166" s="384"/>
      <c r="AO166" s="384"/>
      <c r="AP166" s="384"/>
      <c r="AQ166" s="384"/>
      <c r="AR166" s="384"/>
      <c r="AS166" s="384"/>
      <c r="AT166" s="384"/>
      <c r="AU166" s="384"/>
      <c r="AV166" s="384"/>
    </row>
    <row r="167" spans="1:48" ht="12.75" customHeight="1" x14ac:dyDescent="0.2">
      <c r="A167" s="564"/>
      <c r="B167" s="340"/>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115"/>
      <c r="AA167" s="115"/>
      <c r="AB167" s="115" t="s">
        <v>1062</v>
      </c>
      <c r="AC167" s="1010"/>
      <c r="AD167" s="1011"/>
      <c r="AE167" s="106" t="s">
        <v>697</v>
      </c>
      <c r="AF167" s="92"/>
      <c r="AG167" s="92"/>
      <c r="AH167" s="429"/>
      <c r="AI167" s="595"/>
      <c r="AJ167" s="593"/>
      <c r="AK167" s="593"/>
      <c r="AL167" s="593"/>
      <c r="AM167" s="384"/>
      <c r="AN167" s="384"/>
      <c r="AO167" s="384"/>
      <c r="AP167" s="384"/>
      <c r="AQ167" s="384"/>
      <c r="AR167" s="384"/>
      <c r="AS167" s="384"/>
      <c r="AT167" s="384"/>
      <c r="AU167" s="384"/>
      <c r="AV167" s="384"/>
    </row>
    <row r="168" spans="1:48" ht="2.25" customHeight="1" x14ac:dyDescent="0.2">
      <c r="A168" s="564"/>
      <c r="B168" s="340"/>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235"/>
      <c r="AG168" s="235"/>
      <c r="AH168" s="235"/>
      <c r="AI168" s="597"/>
      <c r="AJ168" s="557"/>
      <c r="AK168" s="556"/>
      <c r="AL168" s="556"/>
    </row>
    <row r="169" spans="1:48" ht="15" customHeight="1" x14ac:dyDescent="0.2">
      <c r="A169" s="563"/>
      <c r="B169" s="339"/>
      <c r="C169" s="1234" t="s">
        <v>670</v>
      </c>
      <c r="D169" s="1234"/>
      <c r="E169" s="99" t="s">
        <v>336</v>
      </c>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97"/>
      <c r="AH169" s="237"/>
      <c r="AI169" s="597"/>
      <c r="AK169" s="556"/>
      <c r="AL169" s="556"/>
    </row>
    <row r="170" spans="1:48" ht="12" customHeight="1" x14ac:dyDescent="0.2">
      <c r="A170" s="563"/>
      <c r="B170" s="339"/>
      <c r="C170" s="129"/>
      <c r="D170" s="102" t="s">
        <v>186</v>
      </c>
      <c r="E170" s="102"/>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97"/>
      <c r="AH170" s="237"/>
      <c r="AI170" s="556"/>
      <c r="AK170" s="556"/>
      <c r="AL170" s="556"/>
    </row>
    <row r="171" spans="1:48" ht="13.5" customHeight="1" x14ac:dyDescent="0.2">
      <c r="A171" s="563"/>
      <c r="B171" s="334"/>
      <c r="C171" s="236"/>
      <c r="D171" s="166"/>
      <c r="E171" s="138" t="s">
        <v>381</v>
      </c>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236"/>
      <c r="AI171" s="556"/>
      <c r="AK171" s="556"/>
      <c r="AL171" s="556"/>
    </row>
    <row r="172" spans="1:48" ht="13.5" customHeight="1" x14ac:dyDescent="0.2">
      <c r="A172" s="563"/>
      <c r="B172" s="334"/>
      <c r="C172" s="236"/>
      <c r="D172" s="166"/>
      <c r="E172" s="138" t="s">
        <v>382</v>
      </c>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236"/>
      <c r="AI172" s="556"/>
      <c r="AJ172" s="557"/>
      <c r="AK172" s="556"/>
      <c r="AL172" s="556"/>
    </row>
    <row r="173" spans="1:48" ht="13.5" customHeight="1" x14ac:dyDescent="0.2">
      <c r="A173" s="563"/>
      <c r="B173" s="334"/>
      <c r="C173" s="236"/>
      <c r="D173" s="166"/>
      <c r="E173" s="138" t="s">
        <v>672</v>
      </c>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236"/>
      <c r="AI173" s="556"/>
      <c r="AK173" s="556"/>
      <c r="AL173" s="556"/>
    </row>
    <row r="174" spans="1:48" ht="1.5" customHeight="1" x14ac:dyDescent="0.2">
      <c r="A174" s="563"/>
      <c r="B174" s="334" t="s">
        <v>335</v>
      </c>
      <c r="C174" s="236"/>
      <c r="D174" s="8"/>
      <c r="E174" s="8"/>
      <c r="F174" s="8"/>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236"/>
      <c r="AI174" s="556"/>
      <c r="AJ174" s="557"/>
      <c r="AK174" s="556"/>
      <c r="AL174" s="556"/>
    </row>
    <row r="175" spans="1:48" ht="12" customHeight="1" x14ac:dyDescent="0.2">
      <c r="A175" s="567">
        <f>IF(D171="X", 0, IF(D172="X",1,IF(D173="X",0,2)))</f>
        <v>2</v>
      </c>
      <c r="B175" s="339">
        <f>IF(D171="X",IF(D172="X",1,IF(D173="X",1,2)),IF(D172="X", IF(D173="X", 1,8), IF(D173="X",4,8)))</f>
        <v>8</v>
      </c>
      <c r="C175" s="236"/>
      <c r="D175" s="1016" t="b">
        <f>IF(B175=1, B174)</f>
        <v>0</v>
      </c>
      <c r="E175" s="1016"/>
      <c r="F175" s="1016"/>
      <c r="G175" s="1016"/>
      <c r="H175" s="1016"/>
      <c r="I175" s="1016"/>
      <c r="J175" s="1016"/>
      <c r="K175" s="1016"/>
      <c r="L175" s="1016"/>
      <c r="M175" s="1016"/>
      <c r="N175" s="1016"/>
      <c r="O175" s="1016"/>
      <c r="P175" s="1016"/>
      <c r="Q175" s="1016"/>
      <c r="R175" s="1016"/>
      <c r="S175" s="1016"/>
      <c r="T175" s="1016"/>
      <c r="U175" s="1016"/>
      <c r="V175" s="1016"/>
      <c r="W175" s="1016"/>
      <c r="X175" s="1016"/>
      <c r="Y175" s="1016"/>
      <c r="Z175" s="8"/>
      <c r="AA175" s="8"/>
      <c r="AB175" s="8"/>
      <c r="AC175" s="95"/>
      <c r="AD175" s="95"/>
      <c r="AE175" s="95"/>
      <c r="AF175" s="95"/>
      <c r="AG175" s="95"/>
      <c r="AH175" s="236"/>
      <c r="AI175" s="556"/>
      <c r="AJ175" s="557">
        <f>IF(COUNTBLANK(D171:D173)=2, 1,0)</f>
        <v>0</v>
      </c>
      <c r="AK175" s="556">
        <f>IF(AF125="X", IF(AJ175=0,1,2),0)</f>
        <v>0</v>
      </c>
      <c r="AL175" s="556"/>
    </row>
    <row r="176" spans="1:48" ht="12.75" customHeight="1" x14ac:dyDescent="0.2">
      <c r="A176" s="563"/>
      <c r="B176" s="334"/>
      <c r="C176" s="98" t="s">
        <v>671</v>
      </c>
      <c r="D176" s="98"/>
      <c r="E176" s="9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222"/>
      <c r="AI176" s="556"/>
      <c r="AJ176" s="557"/>
      <c r="AK176" s="556"/>
      <c r="AL176" s="556"/>
    </row>
    <row r="177" spans="1:40" ht="33.75" customHeight="1" x14ac:dyDescent="0.2">
      <c r="A177" s="563"/>
      <c r="B177" s="334"/>
      <c r="C177" s="1247" t="s">
        <v>185</v>
      </c>
      <c r="D177" s="1247"/>
      <c r="E177" s="1247"/>
      <c r="F177" s="1247"/>
      <c r="G177" s="1247"/>
      <c r="H177" s="1247"/>
      <c r="I177" s="1247"/>
      <c r="J177" s="1247"/>
      <c r="K177" s="1247"/>
      <c r="L177" s="1247"/>
      <c r="M177" s="1247"/>
      <c r="N177" s="1247"/>
      <c r="O177" s="1247"/>
      <c r="P177" s="1247"/>
      <c r="Q177" s="1247"/>
      <c r="R177" s="1247"/>
      <c r="S177" s="1247"/>
      <c r="T177" s="1247"/>
      <c r="U177" s="1247"/>
      <c r="V177" s="1247"/>
      <c r="W177" s="1247"/>
      <c r="X177" s="1247"/>
      <c r="Y177" s="1247"/>
      <c r="Z177" s="1247"/>
      <c r="AA177" s="1247"/>
      <c r="AB177" s="1247"/>
      <c r="AC177" s="1247"/>
      <c r="AD177" s="1247"/>
      <c r="AE177" s="1247"/>
      <c r="AF177" s="1247"/>
      <c r="AG177" s="1247"/>
      <c r="AH177" s="238"/>
      <c r="AI177" s="556"/>
      <c r="AJ177" s="557"/>
      <c r="AK177" s="556"/>
      <c r="AL177" s="556"/>
    </row>
    <row r="178" spans="1:40" ht="13.5" customHeight="1" x14ac:dyDescent="0.2">
      <c r="A178" s="563" t="s">
        <v>276</v>
      </c>
      <c r="B178" s="334" t="s">
        <v>1051</v>
      </c>
      <c r="C178" s="1388" t="s">
        <v>319</v>
      </c>
      <c r="D178" s="1388"/>
      <c r="E178" s="1388"/>
      <c r="F178" s="1388"/>
      <c r="G178" s="1388"/>
      <c r="H178" s="1388"/>
      <c r="I178" s="1388"/>
      <c r="J178" s="1388"/>
      <c r="K178" s="1388"/>
      <c r="L178" s="1388"/>
      <c r="M178" s="1388"/>
      <c r="N178" s="1388"/>
      <c r="O178" s="1388"/>
      <c r="P178" s="1388"/>
      <c r="Q178" s="1389"/>
      <c r="R178" s="1232"/>
      <c r="S178" s="1233"/>
      <c r="T178" s="236"/>
      <c r="U178" s="1387" t="str">
        <f>IF(R178&gt;1,IF(COUNTA(D171:D173)&gt;0, IF(D171="X", IF(A181&lt;0,A178,""), IF(R178&gt;40, A179,IF(A181&lt;0,B181,""))),B178),IF(A181&lt;0,B179,""))</f>
        <v/>
      </c>
      <c r="V178" s="1387"/>
      <c r="W178" s="1387"/>
      <c r="X178" s="1387"/>
      <c r="Y178" s="1387"/>
      <c r="Z178" s="1387"/>
      <c r="AA178" s="1387"/>
      <c r="AB178" s="1387"/>
      <c r="AC178" s="1387"/>
      <c r="AD178" s="1387"/>
      <c r="AE178" s="1387"/>
      <c r="AF178" s="1387"/>
      <c r="AG178" s="430"/>
      <c r="AH178" s="238"/>
      <c r="AI178" s="556"/>
      <c r="AJ178" s="557">
        <f>IF(R178&gt;0, 1,0)</f>
        <v>0</v>
      </c>
      <c r="AK178" s="556">
        <f>IF(AF125="X", IF(AJ178=0,1,2),0)</f>
        <v>0</v>
      </c>
      <c r="AL178" s="556"/>
    </row>
    <row r="179" spans="1:40" ht="12.75" customHeight="1" x14ac:dyDescent="0.2">
      <c r="A179" s="568" t="s">
        <v>277</v>
      </c>
      <c r="B179" s="334" t="s">
        <v>383</v>
      </c>
      <c r="C179" s="196"/>
      <c r="D179" s="196"/>
      <c r="E179" s="196"/>
      <c r="F179" s="196"/>
      <c r="G179" s="196"/>
      <c r="H179" s="196"/>
      <c r="I179" s="196"/>
      <c r="J179" s="196"/>
      <c r="K179" s="196"/>
      <c r="L179" s="196"/>
      <c r="M179" s="196"/>
      <c r="N179" s="196"/>
      <c r="O179" s="196"/>
      <c r="P179" s="196"/>
      <c r="Q179" s="236"/>
      <c r="R179" s="236"/>
      <c r="S179" s="236"/>
      <c r="T179" s="236"/>
      <c r="U179" s="1387"/>
      <c r="V179" s="1387"/>
      <c r="W179" s="1387"/>
      <c r="X179" s="1387"/>
      <c r="Y179" s="1387"/>
      <c r="Z179" s="1387"/>
      <c r="AA179" s="1387"/>
      <c r="AB179" s="1387"/>
      <c r="AC179" s="1387"/>
      <c r="AD179" s="1387"/>
      <c r="AE179" s="1387"/>
      <c r="AF179" s="1387"/>
      <c r="AG179" s="430"/>
      <c r="AH179" s="238"/>
      <c r="AI179" s="556"/>
      <c r="AJ179" s="557"/>
      <c r="AK179" s="556"/>
      <c r="AL179" s="556"/>
    </row>
    <row r="180" spans="1:40" ht="1.5" customHeight="1" x14ac:dyDescent="0.2">
      <c r="A180" s="568"/>
      <c r="B180" s="334"/>
      <c r="C180" s="103"/>
      <c r="D180" s="89"/>
      <c r="E180" s="89"/>
      <c r="F180" s="89"/>
      <c r="G180" s="89"/>
      <c r="H180" s="89"/>
      <c r="I180" s="89"/>
      <c r="J180" s="89"/>
      <c r="K180" s="89"/>
      <c r="L180" s="89"/>
      <c r="M180" s="89"/>
      <c r="N180" s="89"/>
      <c r="O180" s="89"/>
      <c r="P180" s="236"/>
      <c r="Q180" s="236"/>
      <c r="R180" s="236"/>
      <c r="S180" s="431"/>
      <c r="T180" s="431"/>
      <c r="U180" s="431"/>
      <c r="V180" s="431"/>
      <c r="W180" s="431"/>
      <c r="X180" s="431"/>
      <c r="Y180" s="431"/>
      <c r="Z180" s="431"/>
      <c r="AA180" s="431"/>
      <c r="AB180" s="431"/>
      <c r="AC180" s="431"/>
      <c r="AD180" s="431"/>
      <c r="AE180" s="431"/>
      <c r="AF180" s="431"/>
      <c r="AG180" s="431"/>
      <c r="AH180" s="239"/>
      <c r="AI180" s="556"/>
      <c r="AK180" s="556"/>
      <c r="AL180" s="556"/>
    </row>
    <row r="181" spans="1:40" ht="12" customHeight="1" x14ac:dyDescent="0.2">
      <c r="A181" s="554">
        <f>R178+(COUNTBLANK(C185:C189)+COUNTBLANK(C195:C231)-42)</f>
        <v>0</v>
      </c>
      <c r="B181" s="334" t="s">
        <v>504</v>
      </c>
      <c r="C181" s="1248" t="s">
        <v>317</v>
      </c>
      <c r="D181" s="1249"/>
      <c r="E181" s="1249"/>
      <c r="F181" s="1249"/>
      <c r="G181" s="1249"/>
      <c r="H181" s="1249"/>
      <c r="I181" s="1249"/>
      <c r="J181" s="1249"/>
      <c r="K181" s="1250"/>
      <c r="L181" s="1020" t="s">
        <v>540</v>
      </c>
      <c r="M181" s="1021"/>
      <c r="N181" s="1022"/>
      <c r="O181" s="1257" t="s">
        <v>318</v>
      </c>
      <c r="P181" s="1258"/>
      <c r="Q181" s="1258"/>
      <c r="R181" s="1258"/>
      <c r="S181" s="1258"/>
      <c r="T181" s="1258"/>
      <c r="U181" s="1258"/>
      <c r="V181" s="1258"/>
      <c r="W181" s="1258"/>
      <c r="X181" s="1258"/>
      <c r="Y181" s="1258"/>
      <c r="Z181" s="1258"/>
      <c r="AA181" s="1258"/>
      <c r="AB181" s="1258"/>
      <c r="AC181" s="1258"/>
      <c r="AD181" s="1258"/>
      <c r="AE181" s="1258"/>
      <c r="AF181" s="1258"/>
      <c r="AG181" s="1259"/>
      <c r="AH181" s="240"/>
      <c r="AI181" s="557"/>
      <c r="AK181" s="556"/>
      <c r="AL181" s="556"/>
    </row>
    <row r="182" spans="1:40" ht="10.5" customHeight="1" x14ac:dyDescent="0.2">
      <c r="C182" s="1251"/>
      <c r="D182" s="1252"/>
      <c r="E182" s="1252"/>
      <c r="F182" s="1252"/>
      <c r="G182" s="1252"/>
      <c r="H182" s="1252"/>
      <c r="I182" s="1252"/>
      <c r="J182" s="1252"/>
      <c r="K182" s="1253"/>
      <c r="L182" s="1023"/>
      <c r="M182" s="1024"/>
      <c r="N182" s="1025"/>
      <c r="O182" s="1362" t="s">
        <v>676</v>
      </c>
      <c r="P182" s="1363"/>
      <c r="Q182" s="1363"/>
      <c r="R182" s="1363"/>
      <c r="S182" s="1363"/>
      <c r="T182" s="1363"/>
      <c r="U182" s="1363"/>
      <c r="V182" s="1363"/>
      <c r="W182" s="1363"/>
      <c r="X182" s="1363"/>
      <c r="Y182" s="1363"/>
      <c r="Z182" s="1363"/>
      <c r="AA182" s="1363"/>
      <c r="AB182" s="1363"/>
      <c r="AC182" s="1364"/>
      <c r="AD182" s="1026" t="s">
        <v>541</v>
      </c>
      <c r="AE182" s="1027"/>
      <c r="AF182" s="1027"/>
      <c r="AG182" s="1028"/>
      <c r="AH182" s="240"/>
      <c r="AI182" s="556"/>
      <c r="AJ182" s="557"/>
      <c r="AK182" s="556"/>
      <c r="AL182" s="556"/>
    </row>
    <row r="183" spans="1:40" ht="12" customHeight="1" x14ac:dyDescent="0.2">
      <c r="C183" s="1365"/>
      <c r="D183" s="1366"/>
      <c r="E183" s="1366"/>
      <c r="F183" s="1366"/>
      <c r="G183" s="1366"/>
      <c r="H183" s="1366"/>
      <c r="I183" s="1366"/>
      <c r="J183" s="1366"/>
      <c r="K183" s="1367"/>
      <c r="L183" s="1023"/>
      <c r="M183" s="1024"/>
      <c r="N183" s="1025"/>
      <c r="O183" s="1362"/>
      <c r="P183" s="1363"/>
      <c r="Q183" s="1363"/>
      <c r="R183" s="1363"/>
      <c r="S183" s="1363"/>
      <c r="T183" s="1363"/>
      <c r="U183" s="1363"/>
      <c r="V183" s="1363"/>
      <c r="W183" s="1363"/>
      <c r="X183" s="1363"/>
      <c r="Y183" s="1363"/>
      <c r="Z183" s="1363"/>
      <c r="AA183" s="1363"/>
      <c r="AB183" s="1363"/>
      <c r="AC183" s="1364"/>
      <c r="AD183" s="1026"/>
      <c r="AE183" s="1027"/>
      <c r="AF183" s="1027"/>
      <c r="AG183" s="1028"/>
      <c r="AH183" s="223"/>
      <c r="AI183" s="556"/>
      <c r="AJ183" s="557"/>
      <c r="AK183" s="556"/>
      <c r="AL183" s="556"/>
    </row>
    <row r="184" spans="1:40" ht="14.25" customHeight="1" x14ac:dyDescent="0.25">
      <c r="C184" s="1368"/>
      <c r="D184" s="1369"/>
      <c r="E184" s="1369"/>
      <c r="F184" s="1369"/>
      <c r="G184" s="1369"/>
      <c r="H184" s="1369"/>
      <c r="I184" s="1369"/>
      <c r="J184" s="1369"/>
      <c r="K184" s="1370"/>
      <c r="L184" s="1371" t="s">
        <v>323</v>
      </c>
      <c r="M184" s="1372"/>
      <c r="N184" s="1373"/>
      <c r="O184" s="1362"/>
      <c r="P184" s="1363"/>
      <c r="Q184" s="1363"/>
      <c r="R184" s="1363"/>
      <c r="S184" s="1363"/>
      <c r="T184" s="1363"/>
      <c r="U184" s="1363"/>
      <c r="V184" s="1363"/>
      <c r="W184" s="1363"/>
      <c r="X184" s="1363"/>
      <c r="Y184" s="1363"/>
      <c r="Z184" s="1363"/>
      <c r="AA184" s="1363"/>
      <c r="AB184" s="1363"/>
      <c r="AC184" s="1364"/>
      <c r="AD184" s="1384" t="s">
        <v>323</v>
      </c>
      <c r="AE184" s="1385"/>
      <c r="AF184" s="1385"/>
      <c r="AG184" s="1386"/>
      <c r="AH184" s="223"/>
      <c r="AI184" s="556"/>
      <c r="AJ184" s="557">
        <f>IF(R178&gt;0,IF(A181=0,1,0),0)</f>
        <v>0</v>
      </c>
      <c r="AK184" s="556">
        <f>IF(AF125="X", IF(AJ184=0,1,2),2)</f>
        <v>2</v>
      </c>
      <c r="AL184" s="556"/>
    </row>
    <row r="185" spans="1:40" ht="22.5" customHeight="1" x14ac:dyDescent="0.2">
      <c r="A185" s="554">
        <f>B185*A175</f>
        <v>0</v>
      </c>
      <c r="B185" s="345">
        <f>IF(D171="X", IF(R178=1,1,0), R178)</f>
        <v>0</v>
      </c>
      <c r="C185" s="1029"/>
      <c r="D185" s="1030"/>
      <c r="E185" s="1030"/>
      <c r="F185" s="1030"/>
      <c r="G185" s="1030"/>
      <c r="H185" s="1030"/>
      <c r="I185" s="1030"/>
      <c r="J185" s="1030"/>
      <c r="K185" s="1031"/>
      <c r="L185" s="1044"/>
      <c r="M185" s="1045"/>
      <c r="N185" s="1046"/>
      <c r="O185" s="986"/>
      <c r="P185" s="987"/>
      <c r="Q185" s="987"/>
      <c r="R185" s="987"/>
      <c r="S185" s="987"/>
      <c r="T185" s="987"/>
      <c r="U185" s="987"/>
      <c r="V185" s="987"/>
      <c r="W185" s="987"/>
      <c r="X185" s="987"/>
      <c r="Y185" s="987"/>
      <c r="Z185" s="987"/>
      <c r="AA185" s="987"/>
      <c r="AB185" s="987"/>
      <c r="AC185" s="988"/>
      <c r="AD185" s="995"/>
      <c r="AE185" s="996"/>
      <c r="AF185" s="996"/>
      <c r="AG185" s="997"/>
      <c r="AH185" s="76"/>
      <c r="AI185" s="556" t="str">
        <f>TRIM(AA185)</f>
        <v/>
      </c>
      <c r="AJ185" s="557"/>
      <c r="AK185" s="558"/>
      <c r="AL185" s="556"/>
      <c r="AM185" s="371"/>
      <c r="AN185" s="371"/>
    </row>
    <row r="186" spans="1:40" ht="22.5" customHeight="1" x14ac:dyDescent="0.2">
      <c r="A186" s="554">
        <f>B186*A175</f>
        <v>-2</v>
      </c>
      <c r="B186" s="345">
        <f>B185-1</f>
        <v>-1</v>
      </c>
      <c r="C186" s="1029"/>
      <c r="D186" s="1030"/>
      <c r="E186" s="1030"/>
      <c r="F186" s="1030"/>
      <c r="G186" s="1030"/>
      <c r="H186" s="1030"/>
      <c r="I186" s="1030"/>
      <c r="J186" s="1030"/>
      <c r="K186" s="1031"/>
      <c r="L186" s="1044"/>
      <c r="M186" s="1045"/>
      <c r="N186" s="1046"/>
      <c r="O186" s="1017"/>
      <c r="P186" s="1018"/>
      <c r="Q186" s="1018"/>
      <c r="R186" s="1018"/>
      <c r="S186" s="1018"/>
      <c r="T186" s="1018"/>
      <c r="U186" s="1018"/>
      <c r="V186" s="1018"/>
      <c r="W186" s="1018"/>
      <c r="X186" s="1018"/>
      <c r="Y186" s="1018"/>
      <c r="Z186" s="1018"/>
      <c r="AA186" s="1018"/>
      <c r="AB186" s="1018"/>
      <c r="AC186" s="1019"/>
      <c r="AD186" s="995"/>
      <c r="AE186" s="996"/>
      <c r="AF186" s="996"/>
      <c r="AG186" s="997"/>
      <c r="AH186" s="76"/>
      <c r="AI186" s="556" t="str">
        <f t="shared" ref="AI186:AI231" si="0">TRIM(AA186)</f>
        <v/>
      </c>
      <c r="AJ186" s="557"/>
      <c r="AK186" s="558"/>
      <c r="AL186" s="556"/>
      <c r="AN186" s="371"/>
    </row>
    <row r="187" spans="1:40" ht="22.5" customHeight="1" x14ac:dyDescent="0.2">
      <c r="A187" s="554">
        <f>B187*A175</f>
        <v>-4</v>
      </c>
      <c r="B187" s="345">
        <f>B186-1</f>
        <v>-2</v>
      </c>
      <c r="C187" s="1029"/>
      <c r="D187" s="1030"/>
      <c r="E187" s="1030"/>
      <c r="F187" s="1030"/>
      <c r="G187" s="1030"/>
      <c r="H187" s="1030"/>
      <c r="I187" s="1030"/>
      <c r="J187" s="1030"/>
      <c r="K187" s="1031"/>
      <c r="L187" s="1044"/>
      <c r="M187" s="1045"/>
      <c r="N187" s="1046"/>
      <c r="O187" s="1017"/>
      <c r="P187" s="1018"/>
      <c r="Q187" s="1018"/>
      <c r="R187" s="1018"/>
      <c r="S187" s="1018"/>
      <c r="T187" s="1018"/>
      <c r="U187" s="1018"/>
      <c r="V187" s="1018"/>
      <c r="W187" s="1018"/>
      <c r="X187" s="1018"/>
      <c r="Y187" s="1018"/>
      <c r="Z187" s="1018"/>
      <c r="AA187" s="1018"/>
      <c r="AB187" s="1018"/>
      <c r="AC187" s="1019"/>
      <c r="AD187" s="995"/>
      <c r="AE187" s="996"/>
      <c r="AF187" s="996"/>
      <c r="AG187" s="997"/>
      <c r="AH187" s="76"/>
      <c r="AI187" s="556" t="str">
        <f t="shared" si="0"/>
        <v/>
      </c>
      <c r="AJ187" s="557"/>
      <c r="AK187" s="556"/>
      <c r="AL187" s="556"/>
      <c r="AN187" s="371"/>
    </row>
    <row r="188" spans="1:40" ht="22.5" customHeight="1" x14ac:dyDescent="0.2">
      <c r="A188" s="554">
        <f>B188*A175</f>
        <v>-6</v>
      </c>
      <c r="B188" s="345">
        <f>B187-1</f>
        <v>-3</v>
      </c>
      <c r="C188" s="1029"/>
      <c r="D188" s="1030"/>
      <c r="E188" s="1030"/>
      <c r="F188" s="1030"/>
      <c r="G188" s="1030"/>
      <c r="H188" s="1030"/>
      <c r="I188" s="1030"/>
      <c r="J188" s="1030"/>
      <c r="K188" s="1031"/>
      <c r="L188" s="1044"/>
      <c r="M188" s="1045"/>
      <c r="N188" s="1046"/>
      <c r="O188" s="1017"/>
      <c r="P188" s="1018"/>
      <c r="Q188" s="1018"/>
      <c r="R188" s="1018"/>
      <c r="S188" s="1018"/>
      <c r="T188" s="1018"/>
      <c r="U188" s="1018"/>
      <c r="V188" s="1018"/>
      <c r="W188" s="1018"/>
      <c r="X188" s="1018"/>
      <c r="Y188" s="1018"/>
      <c r="Z188" s="1018"/>
      <c r="AA188" s="1018"/>
      <c r="AB188" s="1018"/>
      <c r="AC188" s="1019"/>
      <c r="AD188" s="995"/>
      <c r="AE188" s="996"/>
      <c r="AF188" s="996"/>
      <c r="AG188" s="997"/>
      <c r="AH188" s="76"/>
      <c r="AI188" s="556" t="str">
        <f t="shared" si="0"/>
        <v/>
      </c>
      <c r="AJ188" s="557"/>
      <c r="AK188" s="556"/>
      <c r="AL188" s="556"/>
    </row>
    <row r="189" spans="1:40" ht="22.5" customHeight="1" x14ac:dyDescent="0.2">
      <c r="A189" s="554">
        <f>B189*A175</f>
        <v>-8</v>
      </c>
      <c r="B189" s="345">
        <f>B188-1</f>
        <v>-4</v>
      </c>
      <c r="C189" s="1029"/>
      <c r="D189" s="1030"/>
      <c r="E189" s="1030"/>
      <c r="F189" s="1030"/>
      <c r="G189" s="1030"/>
      <c r="H189" s="1030"/>
      <c r="I189" s="1030"/>
      <c r="J189" s="1030"/>
      <c r="K189" s="1031"/>
      <c r="L189" s="1044"/>
      <c r="M189" s="1045"/>
      <c r="N189" s="1046"/>
      <c r="O189" s="986"/>
      <c r="P189" s="987"/>
      <c r="Q189" s="987"/>
      <c r="R189" s="987"/>
      <c r="S189" s="987"/>
      <c r="T189" s="987"/>
      <c r="U189" s="987"/>
      <c r="V189" s="987"/>
      <c r="W189" s="987"/>
      <c r="X189" s="987"/>
      <c r="Y189" s="987"/>
      <c r="Z189" s="987"/>
      <c r="AA189" s="987"/>
      <c r="AB189" s="987"/>
      <c r="AC189" s="988"/>
      <c r="AD189" s="995"/>
      <c r="AE189" s="996"/>
      <c r="AF189" s="996"/>
      <c r="AG189" s="997"/>
      <c r="AH189" s="76"/>
      <c r="AI189" s="556" t="str">
        <f t="shared" si="0"/>
        <v/>
      </c>
      <c r="AJ189" s="557"/>
      <c r="AK189" s="556" t="str">
        <f>IF(R178&gt;1,IF(COUNTA(D171:D173)&gt;0, IF(D171="X",A178,IF(R178&gt;46,A180,"")),B178)," ")</f>
        <v xml:space="preserve"> </v>
      </c>
      <c r="AL189" s="556"/>
    </row>
    <row r="190" spans="1:40" ht="20.25" customHeight="1" x14ac:dyDescent="0.2">
      <c r="A190" s="554"/>
      <c r="B190" s="345"/>
      <c r="C190" s="432" t="s">
        <v>878</v>
      </c>
      <c r="D190" s="433"/>
      <c r="E190" s="433"/>
      <c r="F190" s="433"/>
      <c r="G190" s="433"/>
      <c r="H190" s="433"/>
      <c r="I190" s="433"/>
      <c r="J190" s="433"/>
      <c r="K190" s="433"/>
      <c r="L190" s="433"/>
      <c r="M190" s="433"/>
      <c r="N190" s="433"/>
      <c r="O190" s="431"/>
      <c r="P190" s="431"/>
      <c r="Q190" s="431"/>
      <c r="R190" s="431"/>
      <c r="S190" s="431"/>
      <c r="T190" s="431"/>
      <c r="U190" s="431"/>
      <c r="V190" s="431"/>
      <c r="W190" s="431"/>
      <c r="X190" s="431"/>
      <c r="Y190" s="431"/>
      <c r="Z190" s="431"/>
      <c r="AA190" s="431"/>
      <c r="AB190" s="431"/>
      <c r="AC190" s="431"/>
      <c r="AD190" s="431"/>
      <c r="AE190" s="431"/>
      <c r="AF190" s="431"/>
      <c r="AG190" s="431"/>
      <c r="AH190" s="253" t="s">
        <v>933</v>
      </c>
      <c r="AI190" s="556"/>
      <c r="AJ190" s="557"/>
      <c r="AK190" s="556"/>
      <c r="AL190" s="556"/>
    </row>
    <row r="191" spans="1:40" ht="12" customHeight="1" x14ac:dyDescent="0.2">
      <c r="A191" s="554"/>
      <c r="B191" s="345"/>
      <c r="C191" s="1251" t="s">
        <v>317</v>
      </c>
      <c r="D191" s="1252"/>
      <c r="E191" s="1252"/>
      <c r="F191" s="1252"/>
      <c r="G191" s="1252"/>
      <c r="H191" s="1252"/>
      <c r="I191" s="1252"/>
      <c r="J191" s="1252"/>
      <c r="K191" s="1253"/>
      <c r="L191" s="1393" t="s">
        <v>540</v>
      </c>
      <c r="M191" s="1394"/>
      <c r="N191" s="1395"/>
      <c r="O191" s="1257" t="s">
        <v>318</v>
      </c>
      <c r="P191" s="1258"/>
      <c r="Q191" s="1258"/>
      <c r="R191" s="1258"/>
      <c r="S191" s="1258"/>
      <c r="T191" s="1258"/>
      <c r="U191" s="1258"/>
      <c r="V191" s="1258"/>
      <c r="W191" s="1258"/>
      <c r="X191" s="1258"/>
      <c r="Y191" s="1258"/>
      <c r="Z191" s="1258"/>
      <c r="AA191" s="1258"/>
      <c r="AB191" s="1258"/>
      <c r="AC191" s="1258"/>
      <c r="AD191" s="1258"/>
      <c r="AE191" s="1258"/>
      <c r="AF191" s="1258"/>
      <c r="AG191" s="1259"/>
      <c r="AH191" s="241"/>
      <c r="AI191" s="596"/>
      <c r="AJ191" s="557"/>
      <c r="AK191" s="556"/>
      <c r="AL191" s="556"/>
    </row>
    <row r="192" spans="1:40" ht="9" customHeight="1" x14ac:dyDescent="0.2">
      <c r="A192" s="554"/>
      <c r="B192" s="345"/>
      <c r="C192" s="1251"/>
      <c r="D192" s="1252"/>
      <c r="E192" s="1252"/>
      <c r="F192" s="1252"/>
      <c r="G192" s="1252"/>
      <c r="H192" s="1252"/>
      <c r="I192" s="1252"/>
      <c r="J192" s="1252"/>
      <c r="K192" s="1253"/>
      <c r="L192" s="1023"/>
      <c r="M192" s="1024"/>
      <c r="N192" s="1025"/>
      <c r="O192" s="1362" t="s">
        <v>676</v>
      </c>
      <c r="P192" s="1363"/>
      <c r="Q192" s="1363"/>
      <c r="R192" s="1363"/>
      <c r="S192" s="1363"/>
      <c r="T192" s="1363"/>
      <c r="U192" s="1363"/>
      <c r="V192" s="1363"/>
      <c r="W192" s="1363"/>
      <c r="X192" s="1363"/>
      <c r="Y192" s="1363"/>
      <c r="Z192" s="1363"/>
      <c r="AA192" s="1363"/>
      <c r="AB192" s="1363"/>
      <c r="AC192" s="1364"/>
      <c r="AD192" s="1026" t="s">
        <v>541</v>
      </c>
      <c r="AE192" s="1027"/>
      <c r="AF192" s="1027"/>
      <c r="AG192" s="1028"/>
      <c r="AH192" s="241"/>
      <c r="AI192" s="556"/>
      <c r="AJ192" s="557"/>
      <c r="AK192" s="556"/>
      <c r="AL192" s="556"/>
    </row>
    <row r="193" spans="1:38" ht="12.75" customHeight="1" x14ac:dyDescent="0.2">
      <c r="A193" s="554"/>
      <c r="B193" s="345"/>
      <c r="C193" s="1365"/>
      <c r="D193" s="1366"/>
      <c r="E193" s="1366"/>
      <c r="F193" s="1366"/>
      <c r="G193" s="1366"/>
      <c r="H193" s="1366"/>
      <c r="I193" s="1366"/>
      <c r="J193" s="1366"/>
      <c r="K193" s="1367"/>
      <c r="L193" s="1023"/>
      <c r="M193" s="1024"/>
      <c r="N193" s="1025"/>
      <c r="O193" s="1362"/>
      <c r="P193" s="1363"/>
      <c r="Q193" s="1363"/>
      <c r="R193" s="1363"/>
      <c r="S193" s="1363"/>
      <c r="T193" s="1363"/>
      <c r="U193" s="1363"/>
      <c r="V193" s="1363"/>
      <c r="W193" s="1363"/>
      <c r="X193" s="1363"/>
      <c r="Y193" s="1363"/>
      <c r="Z193" s="1363"/>
      <c r="AA193" s="1363"/>
      <c r="AB193" s="1363"/>
      <c r="AC193" s="1364"/>
      <c r="AD193" s="1026"/>
      <c r="AE193" s="1027"/>
      <c r="AF193" s="1027"/>
      <c r="AG193" s="1028"/>
      <c r="AH193" s="241"/>
      <c r="AI193" s="556"/>
      <c r="AJ193" s="557"/>
      <c r="AK193" s="556"/>
      <c r="AL193" s="556"/>
    </row>
    <row r="194" spans="1:38" ht="14.25" customHeight="1" x14ac:dyDescent="0.25">
      <c r="A194" s="554"/>
      <c r="B194" s="345"/>
      <c r="C194" s="1368"/>
      <c r="D194" s="1369"/>
      <c r="E194" s="1369"/>
      <c r="F194" s="1369"/>
      <c r="G194" s="1369"/>
      <c r="H194" s="1369"/>
      <c r="I194" s="1369"/>
      <c r="J194" s="1369"/>
      <c r="K194" s="1370"/>
      <c r="L194" s="1371" t="s">
        <v>323</v>
      </c>
      <c r="M194" s="1372"/>
      <c r="N194" s="1373"/>
      <c r="O194" s="1362"/>
      <c r="P194" s="1363"/>
      <c r="Q194" s="1363"/>
      <c r="R194" s="1363"/>
      <c r="S194" s="1363"/>
      <c r="T194" s="1363"/>
      <c r="U194" s="1363"/>
      <c r="V194" s="1363"/>
      <c r="W194" s="1363"/>
      <c r="X194" s="1363"/>
      <c r="Y194" s="1363"/>
      <c r="Z194" s="1363"/>
      <c r="AA194" s="1363"/>
      <c r="AB194" s="1363"/>
      <c r="AC194" s="1364"/>
      <c r="AD194" s="1390" t="s">
        <v>323</v>
      </c>
      <c r="AE194" s="1391"/>
      <c r="AF194" s="1391"/>
      <c r="AG194" s="1392"/>
      <c r="AH194" s="241"/>
      <c r="AI194" s="556"/>
      <c r="AJ194" s="557"/>
      <c r="AK194" s="556"/>
      <c r="AL194" s="556"/>
    </row>
    <row r="195" spans="1:38" ht="21.75" customHeight="1" x14ac:dyDescent="0.2">
      <c r="A195" s="554">
        <f>B195*A175</f>
        <v>-10</v>
      </c>
      <c r="B195" s="345">
        <f>B189-1</f>
        <v>-5</v>
      </c>
      <c r="C195" s="1029"/>
      <c r="D195" s="1030"/>
      <c r="E195" s="1030"/>
      <c r="F195" s="1030"/>
      <c r="G195" s="1030"/>
      <c r="H195" s="1030"/>
      <c r="I195" s="1030"/>
      <c r="J195" s="1030"/>
      <c r="K195" s="1031"/>
      <c r="L195" s="1044"/>
      <c r="M195" s="1045"/>
      <c r="N195" s="1046"/>
      <c r="O195" s="986"/>
      <c r="P195" s="987"/>
      <c r="Q195" s="987"/>
      <c r="R195" s="987"/>
      <c r="S195" s="987"/>
      <c r="T195" s="987"/>
      <c r="U195" s="987"/>
      <c r="V195" s="987"/>
      <c r="W195" s="987"/>
      <c r="X195" s="987"/>
      <c r="Y195" s="987"/>
      <c r="Z195" s="987"/>
      <c r="AA195" s="987"/>
      <c r="AB195" s="987"/>
      <c r="AC195" s="988"/>
      <c r="AD195" s="995"/>
      <c r="AE195" s="996"/>
      <c r="AF195" s="996"/>
      <c r="AG195" s="997"/>
      <c r="AH195" s="241"/>
      <c r="AI195" s="556" t="str">
        <f t="shared" si="0"/>
        <v/>
      </c>
      <c r="AJ195" s="557"/>
      <c r="AK195" s="556"/>
      <c r="AL195" s="556"/>
    </row>
    <row r="196" spans="1:38" ht="21.75" customHeight="1" x14ac:dyDescent="0.2">
      <c r="A196" s="554">
        <f>B196*A175</f>
        <v>-12</v>
      </c>
      <c r="B196" s="345">
        <f t="shared" ref="B196:B215" si="1">B195-1</f>
        <v>-6</v>
      </c>
      <c r="C196" s="1029"/>
      <c r="D196" s="1030"/>
      <c r="E196" s="1030"/>
      <c r="F196" s="1030"/>
      <c r="G196" s="1030"/>
      <c r="H196" s="1030"/>
      <c r="I196" s="1030"/>
      <c r="J196" s="1030"/>
      <c r="K196" s="1031"/>
      <c r="L196" s="1044"/>
      <c r="M196" s="1045"/>
      <c r="N196" s="1046"/>
      <c r="O196" s="986"/>
      <c r="P196" s="987"/>
      <c r="Q196" s="987"/>
      <c r="R196" s="987"/>
      <c r="S196" s="987"/>
      <c r="T196" s="987"/>
      <c r="U196" s="987"/>
      <c r="V196" s="987"/>
      <c r="W196" s="987"/>
      <c r="X196" s="987"/>
      <c r="Y196" s="987"/>
      <c r="Z196" s="987"/>
      <c r="AA196" s="987"/>
      <c r="AB196" s="987"/>
      <c r="AC196" s="988"/>
      <c r="AD196" s="995"/>
      <c r="AE196" s="996"/>
      <c r="AF196" s="996"/>
      <c r="AG196" s="997"/>
      <c r="AH196" s="241"/>
      <c r="AI196" s="556" t="str">
        <f t="shared" si="0"/>
        <v/>
      </c>
      <c r="AJ196" s="557"/>
      <c r="AK196" s="556"/>
      <c r="AL196" s="556"/>
    </row>
    <row r="197" spans="1:38" ht="21.75" customHeight="1" x14ac:dyDescent="0.2">
      <c r="A197" s="554">
        <f>B197*A175</f>
        <v>-14</v>
      </c>
      <c r="B197" s="345">
        <f t="shared" si="1"/>
        <v>-7</v>
      </c>
      <c r="C197" s="1029"/>
      <c r="D197" s="1030"/>
      <c r="E197" s="1030"/>
      <c r="F197" s="1030"/>
      <c r="G197" s="1030"/>
      <c r="H197" s="1030"/>
      <c r="I197" s="1030"/>
      <c r="J197" s="1030"/>
      <c r="K197" s="1031"/>
      <c r="L197" s="1044"/>
      <c r="M197" s="1045"/>
      <c r="N197" s="1046"/>
      <c r="O197" s="986"/>
      <c r="P197" s="987"/>
      <c r="Q197" s="987"/>
      <c r="R197" s="987"/>
      <c r="S197" s="987"/>
      <c r="T197" s="987"/>
      <c r="U197" s="987"/>
      <c r="V197" s="987"/>
      <c r="W197" s="987"/>
      <c r="X197" s="987"/>
      <c r="Y197" s="987"/>
      <c r="Z197" s="987"/>
      <c r="AA197" s="987"/>
      <c r="AB197" s="987"/>
      <c r="AC197" s="988"/>
      <c r="AD197" s="995"/>
      <c r="AE197" s="996"/>
      <c r="AF197" s="996"/>
      <c r="AG197" s="997"/>
      <c r="AH197" s="241"/>
      <c r="AI197" s="556" t="str">
        <f t="shared" si="0"/>
        <v/>
      </c>
      <c r="AJ197" s="557"/>
      <c r="AK197" s="556"/>
      <c r="AL197" s="556"/>
    </row>
    <row r="198" spans="1:38" ht="21.75" customHeight="1" x14ac:dyDescent="0.2">
      <c r="A198" s="554">
        <f>B198*A175</f>
        <v>-16</v>
      </c>
      <c r="B198" s="345">
        <f t="shared" si="1"/>
        <v>-8</v>
      </c>
      <c r="C198" s="1029"/>
      <c r="D198" s="1030"/>
      <c r="E198" s="1030"/>
      <c r="F198" s="1030"/>
      <c r="G198" s="1030"/>
      <c r="H198" s="1030"/>
      <c r="I198" s="1030"/>
      <c r="J198" s="1030"/>
      <c r="K198" s="1031"/>
      <c r="L198" s="1044"/>
      <c r="M198" s="1045"/>
      <c r="N198" s="1046"/>
      <c r="O198" s="986"/>
      <c r="P198" s="987"/>
      <c r="Q198" s="987"/>
      <c r="R198" s="987"/>
      <c r="S198" s="987"/>
      <c r="T198" s="987"/>
      <c r="U198" s="987"/>
      <c r="V198" s="987"/>
      <c r="W198" s="987"/>
      <c r="X198" s="987"/>
      <c r="Y198" s="987"/>
      <c r="Z198" s="987"/>
      <c r="AA198" s="987"/>
      <c r="AB198" s="987"/>
      <c r="AC198" s="988"/>
      <c r="AD198" s="995"/>
      <c r="AE198" s="996"/>
      <c r="AF198" s="996"/>
      <c r="AG198" s="997"/>
      <c r="AH198" s="241"/>
      <c r="AI198" s="556" t="str">
        <f t="shared" si="0"/>
        <v/>
      </c>
      <c r="AJ198" s="557"/>
      <c r="AK198" s="556"/>
      <c r="AL198" s="556"/>
    </row>
    <row r="199" spans="1:38" ht="21.75" customHeight="1" x14ac:dyDescent="0.2">
      <c r="A199" s="554">
        <f>B199*A175</f>
        <v>-18</v>
      </c>
      <c r="B199" s="345">
        <f t="shared" si="1"/>
        <v>-9</v>
      </c>
      <c r="C199" s="1029"/>
      <c r="D199" s="1030"/>
      <c r="E199" s="1030"/>
      <c r="F199" s="1030"/>
      <c r="G199" s="1030"/>
      <c r="H199" s="1030"/>
      <c r="I199" s="1030"/>
      <c r="J199" s="1030"/>
      <c r="K199" s="1031"/>
      <c r="L199" s="1044"/>
      <c r="M199" s="1045"/>
      <c r="N199" s="1046"/>
      <c r="O199" s="986"/>
      <c r="P199" s="987"/>
      <c r="Q199" s="987"/>
      <c r="R199" s="987"/>
      <c r="S199" s="987"/>
      <c r="T199" s="987"/>
      <c r="U199" s="987"/>
      <c r="V199" s="987"/>
      <c r="W199" s="987"/>
      <c r="X199" s="987"/>
      <c r="Y199" s="987"/>
      <c r="Z199" s="987"/>
      <c r="AA199" s="987"/>
      <c r="AB199" s="987"/>
      <c r="AC199" s="988"/>
      <c r="AD199" s="995"/>
      <c r="AE199" s="996"/>
      <c r="AF199" s="996"/>
      <c r="AG199" s="997"/>
      <c r="AH199" s="241"/>
      <c r="AI199" s="556" t="str">
        <f t="shared" si="0"/>
        <v/>
      </c>
      <c r="AJ199" s="557"/>
      <c r="AK199" s="556"/>
      <c r="AL199" s="556"/>
    </row>
    <row r="200" spans="1:38" ht="21.75" customHeight="1" x14ac:dyDescent="0.2">
      <c r="A200" s="554">
        <f>B200*A175</f>
        <v>-20</v>
      </c>
      <c r="B200" s="345">
        <f t="shared" si="1"/>
        <v>-10</v>
      </c>
      <c r="C200" s="1029"/>
      <c r="D200" s="1030"/>
      <c r="E200" s="1030"/>
      <c r="F200" s="1030"/>
      <c r="G200" s="1030"/>
      <c r="H200" s="1030"/>
      <c r="I200" s="1030"/>
      <c r="J200" s="1030"/>
      <c r="K200" s="1031"/>
      <c r="L200" s="1044"/>
      <c r="M200" s="1045"/>
      <c r="N200" s="1046"/>
      <c r="O200" s="986"/>
      <c r="P200" s="987"/>
      <c r="Q200" s="987"/>
      <c r="R200" s="987"/>
      <c r="S200" s="987"/>
      <c r="T200" s="987"/>
      <c r="U200" s="987"/>
      <c r="V200" s="987"/>
      <c r="W200" s="987"/>
      <c r="X200" s="987"/>
      <c r="Y200" s="987"/>
      <c r="Z200" s="987"/>
      <c r="AA200" s="987"/>
      <c r="AB200" s="987"/>
      <c r="AC200" s="988"/>
      <c r="AD200" s="995"/>
      <c r="AE200" s="996"/>
      <c r="AF200" s="996"/>
      <c r="AG200" s="997"/>
      <c r="AH200" s="241"/>
      <c r="AI200" s="556" t="str">
        <f t="shared" si="0"/>
        <v/>
      </c>
      <c r="AJ200" s="557"/>
      <c r="AK200" s="556"/>
      <c r="AL200" s="556"/>
    </row>
    <row r="201" spans="1:38" ht="21.75" customHeight="1" x14ac:dyDescent="0.2">
      <c r="A201" s="554">
        <f>B201*A175</f>
        <v>-22</v>
      </c>
      <c r="B201" s="345">
        <f t="shared" si="1"/>
        <v>-11</v>
      </c>
      <c r="C201" s="1029"/>
      <c r="D201" s="1030"/>
      <c r="E201" s="1030"/>
      <c r="F201" s="1030"/>
      <c r="G201" s="1030"/>
      <c r="H201" s="1030"/>
      <c r="I201" s="1030"/>
      <c r="J201" s="1030"/>
      <c r="K201" s="1031"/>
      <c r="L201" s="1044"/>
      <c r="M201" s="1045"/>
      <c r="N201" s="1046"/>
      <c r="O201" s="986"/>
      <c r="P201" s="987"/>
      <c r="Q201" s="987"/>
      <c r="R201" s="987"/>
      <c r="S201" s="987"/>
      <c r="T201" s="987"/>
      <c r="U201" s="987"/>
      <c r="V201" s="987"/>
      <c r="W201" s="987"/>
      <c r="X201" s="987"/>
      <c r="Y201" s="987"/>
      <c r="Z201" s="987"/>
      <c r="AA201" s="987"/>
      <c r="AB201" s="987"/>
      <c r="AC201" s="988"/>
      <c r="AD201" s="995"/>
      <c r="AE201" s="996"/>
      <c r="AF201" s="996"/>
      <c r="AG201" s="997"/>
      <c r="AH201" s="241"/>
      <c r="AI201" s="556" t="str">
        <f t="shared" si="0"/>
        <v/>
      </c>
      <c r="AJ201" s="557"/>
      <c r="AK201" s="556"/>
      <c r="AL201" s="556"/>
    </row>
    <row r="202" spans="1:38" ht="21.75" customHeight="1" x14ac:dyDescent="0.2">
      <c r="A202" s="554">
        <f>B202*A175</f>
        <v>-24</v>
      </c>
      <c r="B202" s="345">
        <f t="shared" si="1"/>
        <v>-12</v>
      </c>
      <c r="C202" s="1029"/>
      <c r="D202" s="1030"/>
      <c r="E202" s="1030"/>
      <c r="F202" s="1030"/>
      <c r="G202" s="1030"/>
      <c r="H202" s="1030"/>
      <c r="I202" s="1030"/>
      <c r="J202" s="1030"/>
      <c r="K202" s="1031"/>
      <c r="L202" s="1044"/>
      <c r="M202" s="1045"/>
      <c r="N202" s="1046"/>
      <c r="O202" s="986"/>
      <c r="P202" s="987"/>
      <c r="Q202" s="987"/>
      <c r="R202" s="987"/>
      <c r="S202" s="987"/>
      <c r="T202" s="987"/>
      <c r="U202" s="987"/>
      <c r="V202" s="987"/>
      <c r="W202" s="987"/>
      <c r="X202" s="987"/>
      <c r="Y202" s="987"/>
      <c r="Z202" s="987"/>
      <c r="AA202" s="987"/>
      <c r="AB202" s="987"/>
      <c r="AC202" s="988"/>
      <c r="AD202" s="995"/>
      <c r="AE202" s="996"/>
      <c r="AF202" s="996"/>
      <c r="AG202" s="997"/>
      <c r="AH202" s="241"/>
      <c r="AI202" s="556" t="str">
        <f t="shared" si="0"/>
        <v/>
      </c>
      <c r="AJ202" s="557"/>
      <c r="AK202" s="556"/>
      <c r="AL202" s="556"/>
    </row>
    <row r="203" spans="1:38" ht="21.75" customHeight="1" x14ac:dyDescent="0.2">
      <c r="A203" s="554">
        <f>B203*A175</f>
        <v>-26</v>
      </c>
      <c r="B203" s="345">
        <f t="shared" si="1"/>
        <v>-13</v>
      </c>
      <c r="C203" s="1029"/>
      <c r="D203" s="1030"/>
      <c r="E203" s="1030"/>
      <c r="F203" s="1030"/>
      <c r="G203" s="1030"/>
      <c r="H203" s="1030"/>
      <c r="I203" s="1030"/>
      <c r="J203" s="1030"/>
      <c r="K203" s="1031"/>
      <c r="L203" s="1044"/>
      <c r="M203" s="1045"/>
      <c r="N203" s="1046"/>
      <c r="O203" s="1032"/>
      <c r="P203" s="1033"/>
      <c r="Q203" s="1033"/>
      <c r="R203" s="1033"/>
      <c r="S203" s="1033"/>
      <c r="T203" s="1033"/>
      <c r="U203" s="1033"/>
      <c r="V203" s="1033"/>
      <c r="W203" s="1033"/>
      <c r="X203" s="1033"/>
      <c r="Y203" s="1033"/>
      <c r="Z203" s="1033"/>
      <c r="AA203" s="1033"/>
      <c r="AB203" s="1033"/>
      <c r="AC203" s="1034"/>
      <c r="AD203" s="995"/>
      <c r="AE203" s="996"/>
      <c r="AF203" s="996"/>
      <c r="AG203" s="997"/>
      <c r="AH203" s="241"/>
      <c r="AI203" s="556" t="str">
        <f t="shared" si="0"/>
        <v/>
      </c>
      <c r="AJ203" s="557"/>
      <c r="AK203" s="556"/>
      <c r="AL203" s="556"/>
    </row>
    <row r="204" spans="1:38" ht="21.75" customHeight="1" x14ac:dyDescent="0.2">
      <c r="A204" s="554">
        <f>B204*A175</f>
        <v>-28</v>
      </c>
      <c r="B204" s="345">
        <f t="shared" si="1"/>
        <v>-14</v>
      </c>
      <c r="C204" s="1029"/>
      <c r="D204" s="1030"/>
      <c r="E204" s="1030"/>
      <c r="F204" s="1030"/>
      <c r="G204" s="1030"/>
      <c r="H204" s="1030"/>
      <c r="I204" s="1030"/>
      <c r="J204" s="1030"/>
      <c r="K204" s="1031"/>
      <c r="L204" s="1044"/>
      <c r="M204" s="1045"/>
      <c r="N204" s="1046"/>
      <c r="O204" s="986"/>
      <c r="P204" s="987"/>
      <c r="Q204" s="987"/>
      <c r="R204" s="987"/>
      <c r="S204" s="987"/>
      <c r="T204" s="987"/>
      <c r="U204" s="987"/>
      <c r="V204" s="987"/>
      <c r="W204" s="987"/>
      <c r="X204" s="987"/>
      <c r="Y204" s="987"/>
      <c r="Z204" s="987"/>
      <c r="AA204" s="987"/>
      <c r="AB204" s="987"/>
      <c r="AC204" s="988"/>
      <c r="AD204" s="995"/>
      <c r="AE204" s="996"/>
      <c r="AF204" s="996"/>
      <c r="AG204" s="997"/>
      <c r="AH204" s="241"/>
      <c r="AI204" s="556" t="str">
        <f t="shared" si="0"/>
        <v/>
      </c>
      <c r="AJ204" s="557"/>
      <c r="AK204" s="556"/>
      <c r="AL204" s="556"/>
    </row>
    <row r="205" spans="1:38" ht="3" customHeight="1" x14ac:dyDescent="0.2">
      <c r="A205" s="554"/>
      <c r="B205" s="345"/>
      <c r="C205" s="419"/>
      <c r="D205" s="419"/>
      <c r="E205" s="419"/>
      <c r="F205" s="419"/>
      <c r="G205" s="419"/>
      <c r="H205" s="419"/>
      <c r="I205" s="419"/>
      <c r="J205" s="419"/>
      <c r="K205" s="419"/>
      <c r="L205" s="434"/>
      <c r="M205" s="434"/>
      <c r="N205" s="434"/>
      <c r="O205" s="419"/>
      <c r="P205" s="419"/>
      <c r="Q205" s="419"/>
      <c r="R205" s="419"/>
      <c r="S205" s="419"/>
      <c r="T205" s="419"/>
      <c r="U205" s="419"/>
      <c r="V205" s="419"/>
      <c r="W205" s="419"/>
      <c r="X205" s="419"/>
      <c r="Y205" s="435"/>
      <c r="Z205" s="435"/>
      <c r="AA205" s="436"/>
      <c r="AB205" s="436"/>
      <c r="AC205" s="436"/>
      <c r="AD205" s="436"/>
      <c r="AE205" s="435"/>
      <c r="AF205" s="435"/>
      <c r="AG205" s="435"/>
      <c r="AH205" s="222"/>
      <c r="AI205" s="556" t="str">
        <f>TRIM(AA205)</f>
        <v/>
      </c>
      <c r="AJ205" s="557"/>
      <c r="AK205" s="556"/>
      <c r="AL205" s="556"/>
    </row>
    <row r="206" spans="1:38" ht="21.75" customHeight="1" x14ac:dyDescent="0.2">
      <c r="A206" s="554">
        <f>B206*A175</f>
        <v>-30</v>
      </c>
      <c r="B206" s="345">
        <f>B204-1</f>
        <v>-15</v>
      </c>
      <c r="C206" s="1029"/>
      <c r="D206" s="1030"/>
      <c r="E206" s="1030"/>
      <c r="F206" s="1030"/>
      <c r="G206" s="1030"/>
      <c r="H206" s="1030"/>
      <c r="I206" s="1030"/>
      <c r="J206" s="1030"/>
      <c r="K206" s="1031"/>
      <c r="L206" s="1044"/>
      <c r="M206" s="1045"/>
      <c r="N206" s="1046"/>
      <c r="O206" s="986"/>
      <c r="P206" s="987"/>
      <c r="Q206" s="987"/>
      <c r="R206" s="987"/>
      <c r="S206" s="987"/>
      <c r="T206" s="987"/>
      <c r="U206" s="987"/>
      <c r="V206" s="987"/>
      <c r="W206" s="987"/>
      <c r="X206" s="987"/>
      <c r="Y206" s="987"/>
      <c r="Z206" s="987"/>
      <c r="AA206" s="987"/>
      <c r="AB206" s="987"/>
      <c r="AC206" s="988"/>
      <c r="AD206" s="995"/>
      <c r="AE206" s="996"/>
      <c r="AF206" s="996"/>
      <c r="AG206" s="997"/>
      <c r="AH206" s="241"/>
      <c r="AI206" s="556" t="str">
        <f t="shared" si="0"/>
        <v/>
      </c>
      <c r="AJ206" s="557"/>
      <c r="AK206" s="556"/>
      <c r="AL206" s="556"/>
    </row>
    <row r="207" spans="1:38" ht="21.75" customHeight="1" x14ac:dyDescent="0.2">
      <c r="A207" s="554">
        <f>B207*A175</f>
        <v>-32</v>
      </c>
      <c r="B207" s="345">
        <f t="shared" si="1"/>
        <v>-16</v>
      </c>
      <c r="C207" s="1029"/>
      <c r="D207" s="1030"/>
      <c r="E207" s="1030"/>
      <c r="F207" s="1030"/>
      <c r="G207" s="1030"/>
      <c r="H207" s="1030"/>
      <c r="I207" s="1030"/>
      <c r="J207" s="1030"/>
      <c r="K207" s="1031"/>
      <c r="L207" s="1044"/>
      <c r="M207" s="1045"/>
      <c r="N207" s="1046"/>
      <c r="O207" s="986"/>
      <c r="P207" s="987"/>
      <c r="Q207" s="987"/>
      <c r="R207" s="987"/>
      <c r="S207" s="987"/>
      <c r="T207" s="987"/>
      <c r="U207" s="987"/>
      <c r="V207" s="987"/>
      <c r="W207" s="987"/>
      <c r="X207" s="987"/>
      <c r="Y207" s="987"/>
      <c r="Z207" s="987"/>
      <c r="AA207" s="987"/>
      <c r="AB207" s="987"/>
      <c r="AC207" s="988"/>
      <c r="AD207" s="995"/>
      <c r="AE207" s="996"/>
      <c r="AF207" s="996"/>
      <c r="AG207" s="997"/>
      <c r="AH207" s="241"/>
      <c r="AI207" s="556" t="str">
        <f t="shared" si="0"/>
        <v/>
      </c>
      <c r="AJ207" s="557"/>
      <c r="AK207" s="556"/>
      <c r="AL207" s="556"/>
    </row>
    <row r="208" spans="1:38" ht="21.75" customHeight="1" x14ac:dyDescent="0.2">
      <c r="A208" s="554">
        <f>B208*A175</f>
        <v>-34</v>
      </c>
      <c r="B208" s="345">
        <f t="shared" si="1"/>
        <v>-17</v>
      </c>
      <c r="C208" s="1029"/>
      <c r="D208" s="1030"/>
      <c r="E208" s="1030"/>
      <c r="F208" s="1030"/>
      <c r="G208" s="1030"/>
      <c r="H208" s="1030"/>
      <c r="I208" s="1030"/>
      <c r="J208" s="1030"/>
      <c r="K208" s="1031"/>
      <c r="L208" s="1044"/>
      <c r="M208" s="1045"/>
      <c r="N208" s="1046"/>
      <c r="O208" s="986"/>
      <c r="P208" s="987"/>
      <c r="Q208" s="987"/>
      <c r="R208" s="987"/>
      <c r="S208" s="987"/>
      <c r="T208" s="987"/>
      <c r="U208" s="987"/>
      <c r="V208" s="987"/>
      <c r="W208" s="987"/>
      <c r="X208" s="987"/>
      <c r="Y208" s="987"/>
      <c r="Z208" s="987"/>
      <c r="AA208" s="987"/>
      <c r="AB208" s="987"/>
      <c r="AC208" s="988"/>
      <c r="AD208" s="995"/>
      <c r="AE208" s="996"/>
      <c r="AF208" s="996"/>
      <c r="AG208" s="997"/>
      <c r="AH208" s="241"/>
      <c r="AI208" s="556" t="str">
        <f t="shared" si="0"/>
        <v/>
      </c>
      <c r="AJ208" s="557"/>
      <c r="AK208" s="556"/>
      <c r="AL208" s="556"/>
    </row>
    <row r="209" spans="1:38" ht="21.75" customHeight="1" x14ac:dyDescent="0.2">
      <c r="A209" s="554">
        <f>B209*A175</f>
        <v>-36</v>
      </c>
      <c r="B209" s="345">
        <f t="shared" si="1"/>
        <v>-18</v>
      </c>
      <c r="C209" s="1029"/>
      <c r="D209" s="1030"/>
      <c r="E209" s="1030"/>
      <c r="F209" s="1030"/>
      <c r="G209" s="1030"/>
      <c r="H209" s="1030"/>
      <c r="I209" s="1030"/>
      <c r="J209" s="1030"/>
      <c r="K209" s="1031"/>
      <c r="L209" s="1044"/>
      <c r="M209" s="1045"/>
      <c r="N209" s="1046"/>
      <c r="O209" s="986"/>
      <c r="P209" s="987"/>
      <c r="Q209" s="987"/>
      <c r="R209" s="987"/>
      <c r="S209" s="987"/>
      <c r="T209" s="987"/>
      <c r="U209" s="987"/>
      <c r="V209" s="987"/>
      <c r="W209" s="987"/>
      <c r="X209" s="987"/>
      <c r="Y209" s="987"/>
      <c r="Z209" s="987"/>
      <c r="AA209" s="987"/>
      <c r="AB209" s="987"/>
      <c r="AC209" s="988"/>
      <c r="AD209" s="995"/>
      <c r="AE209" s="996"/>
      <c r="AF209" s="996"/>
      <c r="AG209" s="997"/>
      <c r="AH209" s="241"/>
      <c r="AI209" s="556" t="str">
        <f t="shared" si="0"/>
        <v/>
      </c>
      <c r="AJ209" s="557"/>
      <c r="AK209" s="556"/>
      <c r="AL209" s="556"/>
    </row>
    <row r="210" spans="1:38" ht="21.75" customHeight="1" x14ac:dyDescent="0.2">
      <c r="A210" s="554">
        <f>B210*A175</f>
        <v>-38</v>
      </c>
      <c r="B210" s="345">
        <f t="shared" si="1"/>
        <v>-19</v>
      </c>
      <c r="C210" s="1029"/>
      <c r="D210" s="1030"/>
      <c r="E210" s="1030"/>
      <c r="F210" s="1030"/>
      <c r="G210" s="1030"/>
      <c r="H210" s="1030"/>
      <c r="I210" s="1030"/>
      <c r="J210" s="1030"/>
      <c r="K210" s="1031"/>
      <c r="L210" s="1044"/>
      <c r="M210" s="1045"/>
      <c r="N210" s="1046"/>
      <c r="O210" s="986"/>
      <c r="P210" s="987"/>
      <c r="Q210" s="987"/>
      <c r="R210" s="987"/>
      <c r="S210" s="987"/>
      <c r="T210" s="987"/>
      <c r="U210" s="987"/>
      <c r="V210" s="987"/>
      <c r="W210" s="987"/>
      <c r="X210" s="987"/>
      <c r="Y210" s="987"/>
      <c r="Z210" s="987"/>
      <c r="AA210" s="987"/>
      <c r="AB210" s="987"/>
      <c r="AC210" s="988"/>
      <c r="AD210" s="995"/>
      <c r="AE210" s="996"/>
      <c r="AF210" s="996"/>
      <c r="AG210" s="997"/>
      <c r="AH210" s="437"/>
      <c r="AI210" s="556" t="str">
        <f t="shared" si="0"/>
        <v/>
      </c>
      <c r="AJ210" s="557"/>
      <c r="AK210" s="556"/>
      <c r="AL210" s="556"/>
    </row>
    <row r="211" spans="1:38" ht="21.75" customHeight="1" x14ac:dyDescent="0.2">
      <c r="A211" s="554">
        <f>B211*A175</f>
        <v>-40</v>
      </c>
      <c r="B211" s="345">
        <f t="shared" si="1"/>
        <v>-20</v>
      </c>
      <c r="C211" s="1029"/>
      <c r="D211" s="1030"/>
      <c r="E211" s="1030"/>
      <c r="F211" s="1030"/>
      <c r="G211" s="1030"/>
      <c r="H211" s="1030"/>
      <c r="I211" s="1030"/>
      <c r="J211" s="1030"/>
      <c r="K211" s="1031"/>
      <c r="L211" s="1044"/>
      <c r="M211" s="1045"/>
      <c r="N211" s="1046"/>
      <c r="O211" s="986"/>
      <c r="P211" s="987"/>
      <c r="Q211" s="987"/>
      <c r="R211" s="987"/>
      <c r="S211" s="987"/>
      <c r="T211" s="987"/>
      <c r="U211" s="987"/>
      <c r="V211" s="987"/>
      <c r="W211" s="987"/>
      <c r="X211" s="987"/>
      <c r="Y211" s="987"/>
      <c r="Z211" s="987"/>
      <c r="AA211" s="987"/>
      <c r="AB211" s="987"/>
      <c r="AC211" s="988"/>
      <c r="AD211" s="995"/>
      <c r="AE211" s="996"/>
      <c r="AF211" s="996"/>
      <c r="AG211" s="997"/>
      <c r="AH211" s="241"/>
      <c r="AI211" s="556" t="str">
        <f t="shared" si="0"/>
        <v/>
      </c>
      <c r="AJ211" s="557"/>
      <c r="AK211" s="556"/>
      <c r="AL211" s="556"/>
    </row>
    <row r="212" spans="1:38" ht="21.75" customHeight="1" x14ac:dyDescent="0.2">
      <c r="A212" s="554">
        <f>B212*A175</f>
        <v>-42</v>
      </c>
      <c r="B212" s="345">
        <f t="shared" si="1"/>
        <v>-21</v>
      </c>
      <c r="C212" s="1029"/>
      <c r="D212" s="1030"/>
      <c r="E212" s="1030"/>
      <c r="F212" s="1030"/>
      <c r="G212" s="1030"/>
      <c r="H212" s="1030"/>
      <c r="I212" s="1030"/>
      <c r="J212" s="1030"/>
      <c r="K212" s="1031"/>
      <c r="L212" s="1044"/>
      <c r="M212" s="1045"/>
      <c r="N212" s="1046"/>
      <c r="O212" s="986"/>
      <c r="P212" s="987"/>
      <c r="Q212" s="987"/>
      <c r="R212" s="987"/>
      <c r="S212" s="987"/>
      <c r="T212" s="987"/>
      <c r="U212" s="987"/>
      <c r="V212" s="987"/>
      <c r="W212" s="987"/>
      <c r="X212" s="987"/>
      <c r="Y212" s="987"/>
      <c r="Z212" s="987"/>
      <c r="AA212" s="987"/>
      <c r="AB212" s="987"/>
      <c r="AC212" s="988"/>
      <c r="AD212" s="995"/>
      <c r="AE212" s="996"/>
      <c r="AF212" s="996"/>
      <c r="AG212" s="997"/>
      <c r="AH212" s="241"/>
      <c r="AI212" s="556" t="str">
        <f t="shared" si="0"/>
        <v/>
      </c>
      <c r="AJ212" s="557"/>
      <c r="AK212" s="556"/>
      <c r="AL212" s="556"/>
    </row>
    <row r="213" spans="1:38" ht="21.75" customHeight="1" x14ac:dyDescent="0.2">
      <c r="A213" s="554">
        <f>B213*A175</f>
        <v>-44</v>
      </c>
      <c r="B213" s="345">
        <f t="shared" si="1"/>
        <v>-22</v>
      </c>
      <c r="C213" s="1029"/>
      <c r="D213" s="1030"/>
      <c r="E213" s="1030"/>
      <c r="F213" s="1030"/>
      <c r="G213" s="1030"/>
      <c r="H213" s="1030"/>
      <c r="I213" s="1030"/>
      <c r="J213" s="1030"/>
      <c r="K213" s="1031"/>
      <c r="L213" s="1044"/>
      <c r="M213" s="1045"/>
      <c r="N213" s="1046"/>
      <c r="O213" s="986"/>
      <c r="P213" s="987"/>
      <c r="Q213" s="987"/>
      <c r="R213" s="987"/>
      <c r="S213" s="987"/>
      <c r="T213" s="987"/>
      <c r="U213" s="987"/>
      <c r="V213" s="987"/>
      <c r="W213" s="987"/>
      <c r="X213" s="987"/>
      <c r="Y213" s="987"/>
      <c r="Z213" s="987"/>
      <c r="AA213" s="987"/>
      <c r="AB213" s="987"/>
      <c r="AC213" s="988"/>
      <c r="AD213" s="995"/>
      <c r="AE213" s="996"/>
      <c r="AF213" s="996"/>
      <c r="AG213" s="997"/>
      <c r="AH213" s="241"/>
      <c r="AI213" s="556" t="str">
        <f t="shared" si="0"/>
        <v/>
      </c>
      <c r="AJ213" s="557"/>
      <c r="AK213" s="556"/>
      <c r="AL213" s="556"/>
    </row>
    <row r="214" spans="1:38" ht="21.75" customHeight="1" x14ac:dyDescent="0.2">
      <c r="A214" s="554">
        <f>B214*A175</f>
        <v>-46</v>
      </c>
      <c r="B214" s="345">
        <f t="shared" si="1"/>
        <v>-23</v>
      </c>
      <c r="C214" s="1029"/>
      <c r="D214" s="1030"/>
      <c r="E214" s="1030"/>
      <c r="F214" s="1030"/>
      <c r="G214" s="1030"/>
      <c r="H214" s="1030"/>
      <c r="I214" s="1030"/>
      <c r="J214" s="1030"/>
      <c r="K214" s="1031"/>
      <c r="L214" s="1044"/>
      <c r="M214" s="1045"/>
      <c r="N214" s="1046"/>
      <c r="O214" s="986"/>
      <c r="P214" s="987"/>
      <c r="Q214" s="987"/>
      <c r="R214" s="987"/>
      <c r="S214" s="987"/>
      <c r="T214" s="987"/>
      <c r="U214" s="987"/>
      <c r="V214" s="987"/>
      <c r="W214" s="987"/>
      <c r="X214" s="987"/>
      <c r="Y214" s="987"/>
      <c r="Z214" s="987"/>
      <c r="AA214" s="987"/>
      <c r="AB214" s="987"/>
      <c r="AC214" s="988"/>
      <c r="AD214" s="995"/>
      <c r="AE214" s="996"/>
      <c r="AF214" s="996"/>
      <c r="AG214" s="997"/>
      <c r="AH214" s="241"/>
      <c r="AI214" s="556" t="str">
        <f t="shared" si="0"/>
        <v/>
      </c>
      <c r="AJ214" s="557"/>
      <c r="AK214" s="556"/>
      <c r="AL214" s="556"/>
    </row>
    <row r="215" spans="1:38" ht="21.75" customHeight="1" x14ac:dyDescent="0.2">
      <c r="A215" s="554">
        <f>B215*A175</f>
        <v>-48</v>
      </c>
      <c r="B215" s="345">
        <f t="shared" si="1"/>
        <v>-24</v>
      </c>
      <c r="C215" s="1029"/>
      <c r="D215" s="1030"/>
      <c r="E215" s="1030"/>
      <c r="F215" s="1030"/>
      <c r="G215" s="1030"/>
      <c r="H215" s="1030"/>
      <c r="I215" s="1030"/>
      <c r="J215" s="1030"/>
      <c r="K215" s="1031"/>
      <c r="L215" s="1044"/>
      <c r="M215" s="1045"/>
      <c r="N215" s="1046"/>
      <c r="O215" s="986"/>
      <c r="P215" s="987"/>
      <c r="Q215" s="987"/>
      <c r="R215" s="987"/>
      <c r="S215" s="987"/>
      <c r="T215" s="987"/>
      <c r="U215" s="987"/>
      <c r="V215" s="987"/>
      <c r="W215" s="987"/>
      <c r="X215" s="987"/>
      <c r="Y215" s="987"/>
      <c r="Z215" s="987"/>
      <c r="AA215" s="987"/>
      <c r="AB215" s="987"/>
      <c r="AC215" s="988"/>
      <c r="AD215" s="995"/>
      <c r="AE215" s="996"/>
      <c r="AF215" s="996"/>
      <c r="AG215" s="997"/>
      <c r="AH215" s="241"/>
      <c r="AI215" s="556" t="str">
        <f t="shared" si="0"/>
        <v/>
      </c>
      <c r="AJ215" s="557"/>
      <c r="AK215" s="556"/>
      <c r="AL215" s="556"/>
    </row>
    <row r="216" spans="1:38" ht="3" customHeight="1" x14ac:dyDescent="0.2">
      <c r="A216" s="554"/>
      <c r="B216" s="345"/>
      <c r="C216" s="419"/>
      <c r="D216" s="419"/>
      <c r="E216" s="419"/>
      <c r="F216" s="419"/>
      <c r="G216" s="419"/>
      <c r="H216" s="419"/>
      <c r="I216" s="419"/>
      <c r="J216" s="419"/>
      <c r="K216" s="419"/>
      <c r="L216" s="434"/>
      <c r="M216" s="434"/>
      <c r="N216" s="434"/>
      <c r="O216" s="419"/>
      <c r="P216" s="419"/>
      <c r="Q216" s="419"/>
      <c r="R216" s="419"/>
      <c r="S216" s="419"/>
      <c r="T216" s="419"/>
      <c r="U216" s="419"/>
      <c r="V216" s="419"/>
      <c r="W216" s="419"/>
      <c r="X216" s="419"/>
      <c r="Y216" s="435"/>
      <c r="Z216" s="435"/>
      <c r="AA216" s="436"/>
      <c r="AB216" s="436"/>
      <c r="AC216" s="436"/>
      <c r="AD216" s="436"/>
      <c r="AE216" s="435"/>
      <c r="AF216" s="435"/>
      <c r="AG216" s="435"/>
      <c r="AH216" s="222"/>
      <c r="AI216" s="556" t="str">
        <f t="shared" si="0"/>
        <v/>
      </c>
      <c r="AJ216" s="557"/>
      <c r="AK216" s="556"/>
      <c r="AL216" s="556"/>
    </row>
    <row r="217" spans="1:38" ht="18.75" customHeight="1" x14ac:dyDescent="0.2">
      <c r="A217" s="554">
        <f>B217*A175</f>
        <v>-50</v>
      </c>
      <c r="B217" s="345">
        <f>B215-1</f>
        <v>-25</v>
      </c>
      <c r="C217" s="1029"/>
      <c r="D217" s="1030"/>
      <c r="E217" s="1030"/>
      <c r="F217" s="1030"/>
      <c r="G217" s="1030"/>
      <c r="H217" s="1030"/>
      <c r="I217" s="1030"/>
      <c r="J217" s="1030"/>
      <c r="K217" s="1031"/>
      <c r="L217" s="1044"/>
      <c r="M217" s="1045"/>
      <c r="N217" s="1046"/>
      <c r="O217" s="986"/>
      <c r="P217" s="987"/>
      <c r="Q217" s="987"/>
      <c r="R217" s="987"/>
      <c r="S217" s="987"/>
      <c r="T217" s="987"/>
      <c r="U217" s="987"/>
      <c r="V217" s="987"/>
      <c r="W217" s="987"/>
      <c r="X217" s="987"/>
      <c r="Y217" s="987"/>
      <c r="Z217" s="987"/>
      <c r="AA217" s="987"/>
      <c r="AB217" s="987"/>
      <c r="AC217" s="988"/>
      <c r="AD217" s="995"/>
      <c r="AE217" s="996"/>
      <c r="AF217" s="996"/>
      <c r="AG217" s="997"/>
      <c r="AH217" s="241"/>
      <c r="AI217" s="556" t="str">
        <f t="shared" si="0"/>
        <v/>
      </c>
      <c r="AJ217" s="557"/>
      <c r="AK217" s="556"/>
      <c r="AL217" s="556"/>
    </row>
    <row r="218" spans="1:38" ht="18.75" customHeight="1" x14ac:dyDescent="0.2">
      <c r="A218" s="554">
        <f>B218*A175</f>
        <v>-52</v>
      </c>
      <c r="B218" s="345">
        <f t="shared" ref="B218:B231" si="2">B217-1</f>
        <v>-26</v>
      </c>
      <c r="C218" s="1029"/>
      <c r="D218" s="1030"/>
      <c r="E218" s="1030"/>
      <c r="F218" s="1030"/>
      <c r="G218" s="1030"/>
      <c r="H218" s="1030"/>
      <c r="I218" s="1030"/>
      <c r="J218" s="1030"/>
      <c r="K218" s="1031"/>
      <c r="L218" s="1044"/>
      <c r="M218" s="1045"/>
      <c r="N218" s="1046"/>
      <c r="O218" s="986"/>
      <c r="P218" s="987"/>
      <c r="Q218" s="987"/>
      <c r="R218" s="987"/>
      <c r="S218" s="987"/>
      <c r="T218" s="987"/>
      <c r="U218" s="987"/>
      <c r="V218" s="987"/>
      <c r="W218" s="987"/>
      <c r="X218" s="987"/>
      <c r="Y218" s="987"/>
      <c r="Z218" s="987"/>
      <c r="AA218" s="987"/>
      <c r="AB218" s="987"/>
      <c r="AC218" s="988"/>
      <c r="AD218" s="995"/>
      <c r="AE218" s="996"/>
      <c r="AF218" s="996"/>
      <c r="AG218" s="997"/>
      <c r="AH218" s="241"/>
      <c r="AI218" s="556" t="str">
        <f t="shared" si="0"/>
        <v/>
      </c>
      <c r="AJ218" s="557"/>
      <c r="AK218" s="556"/>
      <c r="AL218" s="556"/>
    </row>
    <row r="219" spans="1:38" ht="18.75" customHeight="1" x14ac:dyDescent="0.2">
      <c r="A219" s="554">
        <f>B219*A175</f>
        <v>-54</v>
      </c>
      <c r="B219" s="345">
        <f t="shared" si="2"/>
        <v>-27</v>
      </c>
      <c r="C219" s="1029"/>
      <c r="D219" s="1030"/>
      <c r="E219" s="1030"/>
      <c r="F219" s="1030"/>
      <c r="G219" s="1030"/>
      <c r="H219" s="1030"/>
      <c r="I219" s="1030"/>
      <c r="J219" s="1030"/>
      <c r="K219" s="1031"/>
      <c r="L219" s="1044"/>
      <c r="M219" s="1045"/>
      <c r="N219" s="1046"/>
      <c r="O219" s="986"/>
      <c r="P219" s="987"/>
      <c r="Q219" s="987"/>
      <c r="R219" s="987"/>
      <c r="S219" s="987"/>
      <c r="T219" s="987"/>
      <c r="U219" s="987"/>
      <c r="V219" s="987"/>
      <c r="W219" s="987"/>
      <c r="X219" s="987"/>
      <c r="Y219" s="987"/>
      <c r="Z219" s="987"/>
      <c r="AA219" s="987"/>
      <c r="AB219" s="987"/>
      <c r="AC219" s="988"/>
      <c r="AD219" s="995"/>
      <c r="AE219" s="996"/>
      <c r="AF219" s="996"/>
      <c r="AG219" s="997"/>
      <c r="AH219" s="241"/>
      <c r="AI219" s="556" t="str">
        <f t="shared" si="0"/>
        <v/>
      </c>
      <c r="AJ219" s="557"/>
      <c r="AK219" s="556"/>
      <c r="AL219" s="556"/>
    </row>
    <row r="220" spans="1:38" ht="18.75" customHeight="1" x14ac:dyDescent="0.2">
      <c r="A220" s="554">
        <f>B220*A175</f>
        <v>-56</v>
      </c>
      <c r="B220" s="345">
        <f t="shared" si="2"/>
        <v>-28</v>
      </c>
      <c r="C220" s="1029"/>
      <c r="D220" s="1030"/>
      <c r="E220" s="1030"/>
      <c r="F220" s="1030"/>
      <c r="G220" s="1030"/>
      <c r="H220" s="1030"/>
      <c r="I220" s="1030"/>
      <c r="J220" s="1030"/>
      <c r="K220" s="1031"/>
      <c r="L220" s="1044"/>
      <c r="M220" s="1045"/>
      <c r="N220" s="1046"/>
      <c r="O220" s="986"/>
      <c r="P220" s="987"/>
      <c r="Q220" s="987"/>
      <c r="R220" s="987"/>
      <c r="S220" s="987"/>
      <c r="T220" s="987"/>
      <c r="U220" s="987"/>
      <c r="V220" s="987"/>
      <c r="W220" s="987"/>
      <c r="X220" s="987"/>
      <c r="Y220" s="987"/>
      <c r="Z220" s="987"/>
      <c r="AA220" s="987"/>
      <c r="AB220" s="987"/>
      <c r="AC220" s="988"/>
      <c r="AD220" s="995"/>
      <c r="AE220" s="996"/>
      <c r="AF220" s="996"/>
      <c r="AG220" s="997"/>
      <c r="AH220" s="241"/>
      <c r="AI220" s="556" t="str">
        <f t="shared" si="0"/>
        <v/>
      </c>
      <c r="AJ220" s="557"/>
      <c r="AK220" s="556"/>
      <c r="AL220" s="556"/>
    </row>
    <row r="221" spans="1:38" ht="18.75" customHeight="1" x14ac:dyDescent="0.2">
      <c r="A221" s="554">
        <f>B221*A175</f>
        <v>-58</v>
      </c>
      <c r="B221" s="345">
        <f t="shared" si="2"/>
        <v>-29</v>
      </c>
      <c r="C221" s="1029"/>
      <c r="D221" s="1030"/>
      <c r="E221" s="1030"/>
      <c r="F221" s="1030"/>
      <c r="G221" s="1030"/>
      <c r="H221" s="1030"/>
      <c r="I221" s="1030"/>
      <c r="J221" s="1030"/>
      <c r="K221" s="1031"/>
      <c r="L221" s="1044"/>
      <c r="M221" s="1045"/>
      <c r="N221" s="1046"/>
      <c r="O221" s="986"/>
      <c r="P221" s="987"/>
      <c r="Q221" s="987"/>
      <c r="R221" s="987"/>
      <c r="S221" s="987"/>
      <c r="T221" s="987"/>
      <c r="U221" s="987"/>
      <c r="V221" s="987"/>
      <c r="W221" s="987"/>
      <c r="X221" s="987"/>
      <c r="Y221" s="987"/>
      <c r="Z221" s="987"/>
      <c r="AA221" s="987"/>
      <c r="AB221" s="987"/>
      <c r="AC221" s="988"/>
      <c r="AD221" s="995"/>
      <c r="AE221" s="996"/>
      <c r="AF221" s="996"/>
      <c r="AG221" s="997"/>
      <c r="AH221" s="241"/>
      <c r="AI221" s="556" t="str">
        <f t="shared" si="0"/>
        <v/>
      </c>
      <c r="AJ221" s="557"/>
      <c r="AK221" s="556"/>
      <c r="AL221" s="556"/>
    </row>
    <row r="222" spans="1:38" ht="18.75" customHeight="1" x14ac:dyDescent="0.2">
      <c r="A222" s="554">
        <f>B222*A175</f>
        <v>-60</v>
      </c>
      <c r="B222" s="345">
        <f t="shared" si="2"/>
        <v>-30</v>
      </c>
      <c r="C222" s="1029"/>
      <c r="D222" s="1030"/>
      <c r="E222" s="1030"/>
      <c r="F222" s="1030"/>
      <c r="G222" s="1030"/>
      <c r="H222" s="1030"/>
      <c r="I222" s="1030"/>
      <c r="J222" s="1030"/>
      <c r="K222" s="1031"/>
      <c r="L222" s="1044"/>
      <c r="M222" s="1045"/>
      <c r="N222" s="1046"/>
      <c r="O222" s="986"/>
      <c r="P222" s="987"/>
      <c r="Q222" s="987"/>
      <c r="R222" s="987"/>
      <c r="S222" s="987"/>
      <c r="T222" s="987"/>
      <c r="U222" s="987"/>
      <c r="V222" s="987"/>
      <c r="W222" s="987"/>
      <c r="X222" s="987"/>
      <c r="Y222" s="987"/>
      <c r="Z222" s="987"/>
      <c r="AA222" s="987"/>
      <c r="AB222" s="987"/>
      <c r="AC222" s="988"/>
      <c r="AD222" s="995"/>
      <c r="AE222" s="996"/>
      <c r="AF222" s="996"/>
      <c r="AG222" s="997"/>
      <c r="AH222" s="241"/>
      <c r="AI222" s="556" t="str">
        <f t="shared" si="0"/>
        <v/>
      </c>
      <c r="AJ222" s="557"/>
      <c r="AK222" s="556"/>
      <c r="AL222" s="556"/>
    </row>
    <row r="223" spans="1:38" ht="18.75" customHeight="1" x14ac:dyDescent="0.2">
      <c r="A223" s="554">
        <f>B223*A175</f>
        <v>-62</v>
      </c>
      <c r="B223" s="345">
        <f t="shared" si="2"/>
        <v>-31</v>
      </c>
      <c r="C223" s="1029"/>
      <c r="D223" s="1030"/>
      <c r="E223" s="1030"/>
      <c r="F223" s="1030"/>
      <c r="G223" s="1030"/>
      <c r="H223" s="1030"/>
      <c r="I223" s="1030"/>
      <c r="J223" s="1030"/>
      <c r="K223" s="1031"/>
      <c r="L223" s="1044"/>
      <c r="M223" s="1045"/>
      <c r="N223" s="1046"/>
      <c r="O223" s="986"/>
      <c r="P223" s="987"/>
      <c r="Q223" s="987"/>
      <c r="R223" s="987"/>
      <c r="S223" s="987"/>
      <c r="T223" s="987"/>
      <c r="U223" s="987"/>
      <c r="V223" s="987"/>
      <c r="W223" s="987"/>
      <c r="X223" s="987"/>
      <c r="Y223" s="987"/>
      <c r="Z223" s="987"/>
      <c r="AA223" s="987"/>
      <c r="AB223" s="987"/>
      <c r="AC223" s="988"/>
      <c r="AD223" s="995"/>
      <c r="AE223" s="996"/>
      <c r="AF223" s="996"/>
      <c r="AG223" s="997"/>
      <c r="AH223" s="241"/>
      <c r="AI223" s="556" t="str">
        <f t="shared" si="0"/>
        <v/>
      </c>
      <c r="AJ223" s="557"/>
      <c r="AK223" s="556"/>
      <c r="AL223" s="556"/>
    </row>
    <row r="224" spans="1:38" ht="18.75" customHeight="1" x14ac:dyDescent="0.2">
      <c r="A224" s="554">
        <f>B224*A175</f>
        <v>-64</v>
      </c>
      <c r="B224" s="345">
        <f t="shared" si="2"/>
        <v>-32</v>
      </c>
      <c r="C224" s="1029"/>
      <c r="D224" s="1030"/>
      <c r="E224" s="1030"/>
      <c r="F224" s="1030"/>
      <c r="G224" s="1030"/>
      <c r="H224" s="1030"/>
      <c r="I224" s="1030"/>
      <c r="J224" s="1030"/>
      <c r="K224" s="1031"/>
      <c r="L224" s="1044"/>
      <c r="M224" s="1045"/>
      <c r="N224" s="1046"/>
      <c r="O224" s="986"/>
      <c r="P224" s="987"/>
      <c r="Q224" s="987"/>
      <c r="R224" s="987"/>
      <c r="S224" s="987"/>
      <c r="T224" s="987"/>
      <c r="U224" s="987"/>
      <c r="V224" s="987"/>
      <c r="W224" s="987"/>
      <c r="X224" s="987"/>
      <c r="Y224" s="987"/>
      <c r="Z224" s="987"/>
      <c r="AA224" s="987"/>
      <c r="AB224" s="987"/>
      <c r="AC224" s="988"/>
      <c r="AD224" s="995"/>
      <c r="AE224" s="996"/>
      <c r="AF224" s="996"/>
      <c r="AG224" s="997"/>
      <c r="AH224" s="241"/>
      <c r="AI224" s="556" t="str">
        <f t="shared" si="0"/>
        <v/>
      </c>
      <c r="AJ224" s="557"/>
      <c r="AK224" s="556"/>
      <c r="AL224" s="556"/>
    </row>
    <row r="225" spans="1:38" ht="18.75" customHeight="1" x14ac:dyDescent="0.2">
      <c r="A225" s="554">
        <f>B225*A175</f>
        <v>-66</v>
      </c>
      <c r="B225" s="345">
        <f t="shared" si="2"/>
        <v>-33</v>
      </c>
      <c r="C225" s="1029"/>
      <c r="D225" s="1030"/>
      <c r="E225" s="1030"/>
      <c r="F225" s="1030"/>
      <c r="G225" s="1030"/>
      <c r="H225" s="1030"/>
      <c r="I225" s="1030"/>
      <c r="J225" s="1030"/>
      <c r="K225" s="1031"/>
      <c r="L225" s="1044"/>
      <c r="M225" s="1045"/>
      <c r="N225" s="1046"/>
      <c r="O225" s="986"/>
      <c r="P225" s="987"/>
      <c r="Q225" s="987"/>
      <c r="R225" s="987"/>
      <c r="S225" s="987"/>
      <c r="T225" s="987"/>
      <c r="U225" s="987"/>
      <c r="V225" s="987"/>
      <c r="W225" s="987"/>
      <c r="X225" s="987"/>
      <c r="Y225" s="987"/>
      <c r="Z225" s="987"/>
      <c r="AA225" s="987"/>
      <c r="AB225" s="987"/>
      <c r="AC225" s="988"/>
      <c r="AD225" s="995"/>
      <c r="AE225" s="996"/>
      <c r="AF225" s="996"/>
      <c r="AG225" s="997"/>
      <c r="AH225" s="241"/>
      <c r="AI225" s="556" t="str">
        <f t="shared" si="0"/>
        <v/>
      </c>
      <c r="AJ225" s="557"/>
      <c r="AK225" s="556"/>
      <c r="AL225" s="556"/>
    </row>
    <row r="226" spans="1:38" ht="18.75" customHeight="1" x14ac:dyDescent="0.2">
      <c r="A226" s="554">
        <f>B226*A175</f>
        <v>-68</v>
      </c>
      <c r="B226" s="345">
        <f t="shared" si="2"/>
        <v>-34</v>
      </c>
      <c r="C226" s="1029"/>
      <c r="D226" s="1030"/>
      <c r="E226" s="1030"/>
      <c r="F226" s="1030"/>
      <c r="G226" s="1030"/>
      <c r="H226" s="1030"/>
      <c r="I226" s="1030"/>
      <c r="J226" s="1030"/>
      <c r="K226" s="1031"/>
      <c r="L226" s="1044"/>
      <c r="M226" s="1045"/>
      <c r="N226" s="1046"/>
      <c r="O226" s="986"/>
      <c r="P226" s="987"/>
      <c r="Q226" s="987"/>
      <c r="R226" s="987"/>
      <c r="S226" s="987"/>
      <c r="T226" s="987"/>
      <c r="U226" s="987"/>
      <c r="V226" s="987"/>
      <c r="W226" s="987"/>
      <c r="X226" s="987"/>
      <c r="Y226" s="987"/>
      <c r="Z226" s="987"/>
      <c r="AA226" s="987"/>
      <c r="AB226" s="987"/>
      <c r="AC226" s="988"/>
      <c r="AD226" s="995"/>
      <c r="AE226" s="996"/>
      <c r="AF226" s="996"/>
      <c r="AG226" s="997"/>
      <c r="AH226" s="241"/>
      <c r="AI226" s="556" t="str">
        <f t="shared" si="0"/>
        <v/>
      </c>
      <c r="AJ226" s="557"/>
      <c r="AK226" s="556"/>
      <c r="AL226" s="556"/>
    </row>
    <row r="227" spans="1:38" ht="18.75" customHeight="1" x14ac:dyDescent="0.2">
      <c r="A227" s="554">
        <f>B227*A175</f>
        <v>-70</v>
      </c>
      <c r="B227" s="345">
        <f t="shared" si="2"/>
        <v>-35</v>
      </c>
      <c r="C227" s="1029"/>
      <c r="D227" s="1030"/>
      <c r="E227" s="1030"/>
      <c r="F227" s="1030"/>
      <c r="G227" s="1030"/>
      <c r="H227" s="1030"/>
      <c r="I227" s="1030"/>
      <c r="J227" s="1030"/>
      <c r="K227" s="1031"/>
      <c r="L227" s="1044"/>
      <c r="M227" s="1045"/>
      <c r="N227" s="1046"/>
      <c r="O227" s="986"/>
      <c r="P227" s="987"/>
      <c r="Q227" s="987"/>
      <c r="R227" s="987"/>
      <c r="S227" s="987"/>
      <c r="T227" s="987"/>
      <c r="U227" s="987"/>
      <c r="V227" s="987"/>
      <c r="W227" s="987"/>
      <c r="X227" s="987"/>
      <c r="Y227" s="987"/>
      <c r="Z227" s="987"/>
      <c r="AA227" s="987"/>
      <c r="AB227" s="987"/>
      <c r="AC227" s="988"/>
      <c r="AD227" s="995"/>
      <c r="AE227" s="996"/>
      <c r="AF227" s="996"/>
      <c r="AG227" s="997"/>
      <c r="AH227" s="241"/>
      <c r="AI227" s="556" t="str">
        <f t="shared" si="0"/>
        <v/>
      </c>
      <c r="AJ227" s="557"/>
      <c r="AK227" s="556"/>
      <c r="AL227" s="556"/>
    </row>
    <row r="228" spans="1:38" ht="18.75" customHeight="1" x14ac:dyDescent="0.2">
      <c r="A228" s="554">
        <f>B228*A175</f>
        <v>-72</v>
      </c>
      <c r="B228" s="345">
        <f t="shared" si="2"/>
        <v>-36</v>
      </c>
      <c r="C228" s="1029"/>
      <c r="D228" s="1030"/>
      <c r="E228" s="1030"/>
      <c r="F228" s="1030"/>
      <c r="G228" s="1030"/>
      <c r="H228" s="1030"/>
      <c r="I228" s="1030"/>
      <c r="J228" s="1030"/>
      <c r="K228" s="1031"/>
      <c r="L228" s="1044"/>
      <c r="M228" s="1045"/>
      <c r="N228" s="1046"/>
      <c r="O228" s="986"/>
      <c r="P228" s="987"/>
      <c r="Q228" s="987"/>
      <c r="R228" s="987"/>
      <c r="S228" s="987"/>
      <c r="T228" s="987"/>
      <c r="U228" s="987"/>
      <c r="V228" s="987"/>
      <c r="W228" s="987"/>
      <c r="X228" s="987"/>
      <c r="Y228" s="987"/>
      <c r="Z228" s="987"/>
      <c r="AA228" s="987"/>
      <c r="AB228" s="987"/>
      <c r="AC228" s="988"/>
      <c r="AD228" s="995"/>
      <c r="AE228" s="996"/>
      <c r="AF228" s="996"/>
      <c r="AG228" s="997"/>
      <c r="AH228" s="241"/>
      <c r="AI228" s="556" t="str">
        <f t="shared" si="0"/>
        <v/>
      </c>
      <c r="AJ228" s="557"/>
      <c r="AK228" s="556"/>
      <c r="AL228" s="556"/>
    </row>
    <row r="229" spans="1:38" ht="18.75" customHeight="1" x14ac:dyDescent="0.2">
      <c r="A229" s="554">
        <f>B229*A175</f>
        <v>-74</v>
      </c>
      <c r="B229" s="345">
        <f t="shared" si="2"/>
        <v>-37</v>
      </c>
      <c r="C229" s="1029"/>
      <c r="D229" s="1030"/>
      <c r="E229" s="1030"/>
      <c r="F229" s="1030"/>
      <c r="G229" s="1030"/>
      <c r="H229" s="1030"/>
      <c r="I229" s="1030"/>
      <c r="J229" s="1030"/>
      <c r="K229" s="1031"/>
      <c r="L229" s="1044"/>
      <c r="M229" s="1045"/>
      <c r="N229" s="1046"/>
      <c r="O229" s="986"/>
      <c r="P229" s="987"/>
      <c r="Q229" s="987"/>
      <c r="R229" s="987"/>
      <c r="S229" s="987"/>
      <c r="T229" s="987"/>
      <c r="U229" s="987"/>
      <c r="V229" s="987"/>
      <c r="W229" s="987"/>
      <c r="X229" s="987"/>
      <c r="Y229" s="987"/>
      <c r="Z229" s="987"/>
      <c r="AA229" s="987"/>
      <c r="AB229" s="987"/>
      <c r="AC229" s="988"/>
      <c r="AD229" s="995"/>
      <c r="AE229" s="996"/>
      <c r="AF229" s="996"/>
      <c r="AG229" s="997"/>
      <c r="AH229" s="241"/>
      <c r="AI229" s="556" t="str">
        <f t="shared" si="0"/>
        <v/>
      </c>
      <c r="AJ229" s="557"/>
      <c r="AK229" s="556"/>
      <c r="AL229" s="556"/>
    </row>
    <row r="230" spans="1:38" ht="18.75" customHeight="1" x14ac:dyDescent="0.2">
      <c r="A230" s="554">
        <f>B230*A175</f>
        <v>-76</v>
      </c>
      <c r="B230" s="345">
        <f t="shared" si="2"/>
        <v>-38</v>
      </c>
      <c r="C230" s="1029"/>
      <c r="D230" s="1030"/>
      <c r="E230" s="1030"/>
      <c r="F230" s="1030"/>
      <c r="G230" s="1030"/>
      <c r="H230" s="1030"/>
      <c r="I230" s="1030"/>
      <c r="J230" s="1030"/>
      <c r="K230" s="1031"/>
      <c r="L230" s="1044"/>
      <c r="M230" s="1045"/>
      <c r="N230" s="1046"/>
      <c r="O230" s="986"/>
      <c r="P230" s="987"/>
      <c r="Q230" s="987"/>
      <c r="R230" s="987"/>
      <c r="S230" s="987"/>
      <c r="T230" s="987"/>
      <c r="U230" s="987"/>
      <c r="V230" s="987"/>
      <c r="W230" s="987"/>
      <c r="X230" s="987"/>
      <c r="Y230" s="987"/>
      <c r="Z230" s="987"/>
      <c r="AA230" s="987"/>
      <c r="AB230" s="987"/>
      <c r="AC230" s="988"/>
      <c r="AD230" s="995"/>
      <c r="AE230" s="996"/>
      <c r="AF230" s="996"/>
      <c r="AG230" s="997"/>
      <c r="AH230" s="241"/>
      <c r="AI230" s="556" t="str">
        <f t="shared" si="0"/>
        <v/>
      </c>
      <c r="AJ230" s="557"/>
      <c r="AK230" s="556"/>
      <c r="AL230" s="556"/>
    </row>
    <row r="231" spans="1:38" ht="18.75" customHeight="1" x14ac:dyDescent="0.2">
      <c r="A231" s="554">
        <f>B231*A175</f>
        <v>-78</v>
      </c>
      <c r="B231" s="345">
        <f t="shared" si="2"/>
        <v>-39</v>
      </c>
      <c r="C231" s="1029"/>
      <c r="D231" s="1030"/>
      <c r="E231" s="1030"/>
      <c r="F231" s="1030"/>
      <c r="G231" s="1030"/>
      <c r="H231" s="1030"/>
      <c r="I231" s="1030"/>
      <c r="J231" s="1030"/>
      <c r="K231" s="1031"/>
      <c r="L231" s="1044"/>
      <c r="M231" s="1045"/>
      <c r="N231" s="1046"/>
      <c r="O231" s="986"/>
      <c r="P231" s="987"/>
      <c r="Q231" s="987"/>
      <c r="R231" s="987"/>
      <c r="S231" s="987"/>
      <c r="T231" s="987"/>
      <c r="U231" s="987"/>
      <c r="V231" s="987"/>
      <c r="W231" s="987"/>
      <c r="X231" s="987"/>
      <c r="Y231" s="987"/>
      <c r="Z231" s="987"/>
      <c r="AA231" s="987"/>
      <c r="AB231" s="987"/>
      <c r="AC231" s="988"/>
      <c r="AD231" s="995"/>
      <c r="AE231" s="996"/>
      <c r="AF231" s="996"/>
      <c r="AG231" s="997"/>
      <c r="AH231" s="241"/>
      <c r="AI231" s="556" t="str">
        <f t="shared" si="0"/>
        <v/>
      </c>
      <c r="AJ231" s="557"/>
      <c r="AK231" s="556"/>
      <c r="AL231" s="556"/>
    </row>
    <row r="232" spans="1:38" ht="18" customHeight="1" x14ac:dyDescent="0.2">
      <c r="A232" s="554"/>
      <c r="B232" s="335"/>
      <c r="C232" s="5" t="s">
        <v>677</v>
      </c>
      <c r="D232" s="5"/>
      <c r="E232" s="5"/>
      <c r="AH232" s="253" t="s">
        <v>678</v>
      </c>
      <c r="AI232" s="556"/>
      <c r="AJ232" s="557"/>
      <c r="AK232" s="556"/>
      <c r="AL232" s="556"/>
    </row>
    <row r="233" spans="1:38" ht="15.75" customHeight="1" x14ac:dyDescent="0.2">
      <c r="A233" s="554"/>
      <c r="B233" s="335"/>
      <c r="C233" s="71" t="s">
        <v>879</v>
      </c>
      <c r="D233" s="71"/>
      <c r="E233" s="71"/>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75"/>
      <c r="AI233" s="556"/>
      <c r="AJ233" s="557"/>
      <c r="AK233" s="556"/>
      <c r="AL233" s="556"/>
    </row>
    <row r="234" spans="1:38" ht="35.25" customHeight="1" x14ac:dyDescent="0.2">
      <c r="A234" s="554"/>
      <c r="B234" s="335"/>
      <c r="C234" s="1228" t="s">
        <v>999</v>
      </c>
      <c r="D234" s="1229"/>
      <c r="E234" s="1229"/>
      <c r="F234" s="1229"/>
      <c r="G234" s="1229"/>
      <c r="H234" s="1229"/>
      <c r="I234" s="1229"/>
      <c r="J234" s="1229"/>
      <c r="K234" s="1229"/>
      <c r="L234" s="1229"/>
      <c r="M234" s="1230"/>
      <c r="N234" s="1222" t="s">
        <v>175</v>
      </c>
      <c r="O234" s="1223"/>
      <c r="P234" s="1223"/>
      <c r="Q234" s="1223"/>
      <c r="R234" s="1223"/>
      <c r="S234" s="1223"/>
      <c r="T234" s="1224"/>
      <c r="U234" s="1225" t="s">
        <v>190</v>
      </c>
      <c r="V234" s="1226"/>
      <c r="W234" s="1226"/>
      <c r="X234" s="1226"/>
      <c r="Y234" s="1226"/>
      <c r="Z234" s="1226"/>
      <c r="AA234" s="1226"/>
      <c r="AB234" s="1226"/>
      <c r="AC234" s="1226"/>
      <c r="AD234" s="1226"/>
      <c r="AE234" s="1226"/>
      <c r="AF234" s="1226"/>
      <c r="AG234" s="1227"/>
      <c r="AH234" s="75"/>
      <c r="AI234" s="556"/>
      <c r="AK234" s="556"/>
      <c r="AL234" s="556"/>
    </row>
    <row r="235" spans="1:38" ht="34.9" customHeight="1" x14ac:dyDescent="0.2">
      <c r="A235" s="554"/>
      <c r="B235" s="335"/>
      <c r="C235" s="793"/>
      <c r="D235" s="794"/>
      <c r="E235" s="794"/>
      <c r="F235" s="794"/>
      <c r="G235" s="794"/>
      <c r="H235" s="794"/>
      <c r="I235" s="794"/>
      <c r="J235" s="794"/>
      <c r="K235" s="794"/>
      <c r="L235" s="794"/>
      <c r="M235" s="795"/>
      <c r="N235" s="989"/>
      <c r="O235" s="990"/>
      <c r="P235" s="990"/>
      <c r="Q235" s="990"/>
      <c r="R235" s="990"/>
      <c r="S235" s="990"/>
      <c r="T235" s="991"/>
      <c r="U235" s="989"/>
      <c r="V235" s="990"/>
      <c r="W235" s="990"/>
      <c r="X235" s="990"/>
      <c r="Y235" s="990"/>
      <c r="Z235" s="990"/>
      <c r="AA235" s="990"/>
      <c r="AB235" s="990"/>
      <c r="AC235" s="990"/>
      <c r="AD235" s="990"/>
      <c r="AE235" s="990"/>
      <c r="AF235" s="990"/>
      <c r="AG235" s="991"/>
      <c r="AH235" s="75"/>
      <c r="AI235" s="556"/>
      <c r="AJ235" s="557"/>
      <c r="AK235" s="556"/>
      <c r="AL235" s="556"/>
    </row>
    <row r="236" spans="1:38" ht="33.6" customHeight="1" x14ac:dyDescent="0.2">
      <c r="A236" s="554"/>
      <c r="B236" s="335"/>
      <c r="C236" s="1038"/>
      <c r="D236" s="1039"/>
      <c r="E236" s="1039"/>
      <c r="F236" s="1039"/>
      <c r="G236" s="1039"/>
      <c r="H236" s="1039"/>
      <c r="I236" s="1039"/>
      <c r="J236" s="1039"/>
      <c r="K236" s="1039"/>
      <c r="L236" s="1039"/>
      <c r="M236" s="1040"/>
      <c r="N236" s="989"/>
      <c r="O236" s="990"/>
      <c r="P236" s="990"/>
      <c r="Q236" s="990"/>
      <c r="R236" s="990"/>
      <c r="S236" s="990"/>
      <c r="T236" s="991"/>
      <c r="U236" s="989"/>
      <c r="V236" s="990"/>
      <c r="W236" s="990"/>
      <c r="X236" s="990"/>
      <c r="Y236" s="990"/>
      <c r="Z236" s="990"/>
      <c r="AA236" s="990"/>
      <c r="AB236" s="990"/>
      <c r="AC236" s="990"/>
      <c r="AD236" s="990"/>
      <c r="AE236" s="990"/>
      <c r="AF236" s="990"/>
      <c r="AG236" s="991"/>
      <c r="AH236" s="75"/>
      <c r="AI236" s="556"/>
      <c r="AJ236" s="557"/>
      <c r="AK236" s="556"/>
      <c r="AL236" s="556"/>
    </row>
    <row r="237" spans="1:38" ht="15.6" customHeight="1" x14ac:dyDescent="0.2">
      <c r="A237" s="554"/>
      <c r="B237" s="335"/>
      <c r="C237" s="1038"/>
      <c r="D237" s="1039"/>
      <c r="E237" s="1039"/>
      <c r="F237" s="1039"/>
      <c r="G237" s="1039"/>
      <c r="H237" s="1039"/>
      <c r="I237" s="1039"/>
      <c r="J237" s="1039"/>
      <c r="K237" s="1039"/>
      <c r="L237" s="1039"/>
      <c r="M237" s="1040"/>
      <c r="N237" s="989"/>
      <c r="O237" s="990"/>
      <c r="P237" s="990"/>
      <c r="Q237" s="990"/>
      <c r="R237" s="990"/>
      <c r="S237" s="990"/>
      <c r="T237" s="991"/>
      <c r="U237" s="989"/>
      <c r="V237" s="990"/>
      <c r="W237" s="990"/>
      <c r="X237" s="990"/>
      <c r="Y237" s="990"/>
      <c r="Z237" s="990"/>
      <c r="AA237" s="990"/>
      <c r="AB237" s="990"/>
      <c r="AC237" s="990"/>
      <c r="AD237" s="990"/>
      <c r="AE237" s="990"/>
      <c r="AF237" s="990"/>
      <c r="AG237" s="991"/>
      <c r="AH237" s="75"/>
      <c r="AI237" s="556"/>
      <c r="AJ237" s="557"/>
      <c r="AK237" s="556"/>
      <c r="AL237" s="556"/>
    </row>
    <row r="238" spans="1:38" ht="13.15" customHeight="1" x14ac:dyDescent="0.2">
      <c r="A238" s="554"/>
      <c r="B238" s="335"/>
      <c r="C238" s="1038"/>
      <c r="D238" s="1039"/>
      <c r="E238" s="1039"/>
      <c r="F238" s="1039"/>
      <c r="G238" s="1039"/>
      <c r="H238" s="1039"/>
      <c r="I238" s="1039"/>
      <c r="J238" s="1039"/>
      <c r="K238" s="1039"/>
      <c r="L238" s="1039"/>
      <c r="M238" s="1040"/>
      <c r="N238" s="989"/>
      <c r="O238" s="990"/>
      <c r="P238" s="990"/>
      <c r="Q238" s="990"/>
      <c r="R238" s="990"/>
      <c r="S238" s="990"/>
      <c r="T238" s="991"/>
      <c r="U238" s="989"/>
      <c r="V238" s="990"/>
      <c r="W238" s="990"/>
      <c r="X238" s="990"/>
      <c r="Y238" s="990"/>
      <c r="Z238" s="990"/>
      <c r="AA238" s="990"/>
      <c r="AB238" s="990"/>
      <c r="AC238" s="990"/>
      <c r="AD238" s="990"/>
      <c r="AE238" s="990"/>
      <c r="AF238" s="990"/>
      <c r="AG238" s="991"/>
      <c r="AH238" s="75"/>
      <c r="AI238" s="556"/>
      <c r="AJ238" s="557"/>
      <c r="AK238" s="556"/>
      <c r="AL238" s="556"/>
    </row>
    <row r="239" spans="1:38" ht="12.6" customHeight="1" x14ac:dyDescent="0.2">
      <c r="A239" s="554"/>
      <c r="B239" s="335"/>
      <c r="C239" s="1038"/>
      <c r="D239" s="1039"/>
      <c r="E239" s="1039"/>
      <c r="F239" s="1039"/>
      <c r="G239" s="1039"/>
      <c r="H239" s="1039"/>
      <c r="I239" s="1039"/>
      <c r="J239" s="1039"/>
      <c r="K239" s="1039"/>
      <c r="L239" s="1039"/>
      <c r="M239" s="1040"/>
      <c r="N239" s="989"/>
      <c r="O239" s="990"/>
      <c r="P239" s="990"/>
      <c r="Q239" s="990"/>
      <c r="R239" s="990"/>
      <c r="S239" s="990"/>
      <c r="T239" s="991"/>
      <c r="U239" s="989"/>
      <c r="V239" s="990"/>
      <c r="W239" s="990"/>
      <c r="X239" s="990"/>
      <c r="Y239" s="990"/>
      <c r="Z239" s="990"/>
      <c r="AA239" s="990"/>
      <c r="AB239" s="990"/>
      <c r="AC239" s="990"/>
      <c r="AD239" s="990"/>
      <c r="AE239" s="990"/>
      <c r="AF239" s="990"/>
      <c r="AG239" s="991"/>
      <c r="AH239" s="75"/>
      <c r="AI239" s="556"/>
      <c r="AJ239" s="557"/>
      <c r="AK239" s="556"/>
      <c r="AL239" s="556"/>
    </row>
    <row r="240" spans="1:38" ht="13.15" customHeight="1" x14ac:dyDescent="0.2">
      <c r="A240" s="554"/>
      <c r="B240" s="335"/>
      <c r="C240" s="1038"/>
      <c r="D240" s="1039"/>
      <c r="E240" s="1039"/>
      <c r="F240" s="1039"/>
      <c r="G240" s="1039"/>
      <c r="H240" s="1039"/>
      <c r="I240" s="1039"/>
      <c r="J240" s="1039"/>
      <c r="K240" s="1039"/>
      <c r="L240" s="1039"/>
      <c r="M240" s="1040"/>
      <c r="N240" s="989"/>
      <c r="O240" s="990"/>
      <c r="P240" s="990"/>
      <c r="Q240" s="990"/>
      <c r="R240" s="990"/>
      <c r="S240" s="990"/>
      <c r="T240" s="991"/>
      <c r="U240" s="989"/>
      <c r="V240" s="990"/>
      <c r="W240" s="990"/>
      <c r="X240" s="990"/>
      <c r="Y240" s="990"/>
      <c r="Z240" s="990"/>
      <c r="AA240" s="990"/>
      <c r="AB240" s="990"/>
      <c r="AC240" s="990"/>
      <c r="AD240" s="990"/>
      <c r="AE240" s="990"/>
      <c r="AF240" s="990"/>
      <c r="AG240" s="991"/>
      <c r="AH240" s="75"/>
      <c r="AI240" s="556"/>
      <c r="AJ240" s="557"/>
      <c r="AK240" s="556"/>
      <c r="AL240" s="556"/>
    </row>
    <row r="241" spans="1:68" ht="12.6" customHeight="1" x14ac:dyDescent="0.2">
      <c r="A241" s="554"/>
      <c r="B241" s="335"/>
      <c r="C241" s="1038"/>
      <c r="D241" s="1039"/>
      <c r="E241" s="1039"/>
      <c r="F241" s="1039"/>
      <c r="G241" s="1039"/>
      <c r="H241" s="1039"/>
      <c r="I241" s="1039"/>
      <c r="J241" s="1039"/>
      <c r="K241" s="1039"/>
      <c r="L241" s="1039"/>
      <c r="M241" s="1040"/>
      <c r="N241" s="989"/>
      <c r="O241" s="990"/>
      <c r="P241" s="990"/>
      <c r="Q241" s="990"/>
      <c r="R241" s="990"/>
      <c r="S241" s="990"/>
      <c r="T241" s="991"/>
      <c r="U241" s="989"/>
      <c r="V241" s="990"/>
      <c r="W241" s="990"/>
      <c r="X241" s="990"/>
      <c r="Y241" s="990"/>
      <c r="Z241" s="990"/>
      <c r="AA241" s="990"/>
      <c r="AB241" s="990"/>
      <c r="AC241" s="990"/>
      <c r="AD241" s="990"/>
      <c r="AE241" s="990"/>
      <c r="AF241" s="990"/>
      <c r="AG241" s="991"/>
      <c r="AH241" s="75"/>
      <c r="AI241" s="556"/>
      <c r="AJ241" s="557"/>
      <c r="AK241" s="556"/>
      <c r="AL241" s="556"/>
    </row>
    <row r="242" spans="1:68" ht="12" customHeight="1" x14ac:dyDescent="0.2">
      <c r="A242" s="554"/>
      <c r="B242" s="335"/>
      <c r="C242" s="1038"/>
      <c r="D242" s="1039"/>
      <c r="E242" s="1039"/>
      <c r="F242" s="1039"/>
      <c r="G242" s="1039"/>
      <c r="H242" s="1039"/>
      <c r="I242" s="1039"/>
      <c r="J242" s="1039"/>
      <c r="K242" s="1039"/>
      <c r="L242" s="1039"/>
      <c r="M242" s="1040"/>
      <c r="N242" s="989"/>
      <c r="O242" s="990"/>
      <c r="P242" s="990"/>
      <c r="Q242" s="990"/>
      <c r="R242" s="990"/>
      <c r="S242" s="990"/>
      <c r="T242" s="991"/>
      <c r="U242" s="989"/>
      <c r="V242" s="990"/>
      <c r="W242" s="990"/>
      <c r="X242" s="990"/>
      <c r="Y242" s="990"/>
      <c r="Z242" s="990"/>
      <c r="AA242" s="990"/>
      <c r="AB242" s="990"/>
      <c r="AC242" s="990"/>
      <c r="AD242" s="990"/>
      <c r="AE242" s="990"/>
      <c r="AF242" s="990"/>
      <c r="AG242" s="991"/>
      <c r="AH242" s="75"/>
      <c r="AI242" s="556"/>
      <c r="AJ242" s="557"/>
      <c r="AK242" s="556"/>
      <c r="AL242" s="556"/>
    </row>
    <row r="243" spans="1:68" ht="13.15" customHeight="1" x14ac:dyDescent="0.2">
      <c r="A243" s="554"/>
      <c r="B243" s="335"/>
      <c r="C243" s="1038"/>
      <c r="D243" s="1039"/>
      <c r="E243" s="1039"/>
      <c r="F243" s="1039"/>
      <c r="G243" s="1039"/>
      <c r="H243" s="1039"/>
      <c r="I243" s="1039"/>
      <c r="J243" s="1039"/>
      <c r="K243" s="1039"/>
      <c r="L243" s="1039"/>
      <c r="M243" s="1040"/>
      <c r="N243" s="989"/>
      <c r="O243" s="990"/>
      <c r="P243" s="990"/>
      <c r="Q243" s="990"/>
      <c r="R243" s="990"/>
      <c r="S243" s="990"/>
      <c r="T243" s="991"/>
      <c r="U243" s="989"/>
      <c r="V243" s="990"/>
      <c r="W243" s="990"/>
      <c r="X243" s="990"/>
      <c r="Y243" s="990"/>
      <c r="Z243" s="990"/>
      <c r="AA243" s="990"/>
      <c r="AB243" s="990"/>
      <c r="AC243" s="990"/>
      <c r="AD243" s="990"/>
      <c r="AE243" s="990"/>
      <c r="AF243" s="990"/>
      <c r="AG243" s="991"/>
      <c r="AH243" s="75"/>
      <c r="AI243" s="556"/>
      <c r="AJ243" s="557"/>
      <c r="AK243" s="556"/>
      <c r="AL243" s="556"/>
    </row>
    <row r="244" spans="1:68" s="8" customFormat="1" ht="15.75" customHeight="1" x14ac:dyDescent="0.2">
      <c r="A244" s="563"/>
      <c r="B244" s="334"/>
      <c r="C244" s="235"/>
      <c r="D244" s="102"/>
      <c r="E244" s="102"/>
      <c r="F244" s="102"/>
      <c r="G244" s="235"/>
      <c r="H244" s="235"/>
      <c r="I244" s="235"/>
      <c r="J244" s="235"/>
      <c r="K244" s="235"/>
      <c r="L244" s="235"/>
      <c r="M244" s="235"/>
      <c r="N244" s="235"/>
      <c r="O244" s="235"/>
      <c r="P244" s="235"/>
      <c r="Q244" s="235"/>
      <c r="R244" s="235"/>
      <c r="S244" s="235"/>
      <c r="T244" s="235"/>
      <c r="U244" s="235"/>
      <c r="V244" s="235"/>
      <c r="W244" s="235"/>
      <c r="X244" s="235"/>
      <c r="Y244" s="92"/>
      <c r="Z244" s="92"/>
      <c r="AA244" s="92"/>
      <c r="AB244" s="92"/>
      <c r="AC244" s="92"/>
      <c r="AD244" s="92"/>
      <c r="AE244" s="92"/>
      <c r="AF244" s="92"/>
      <c r="AG244" s="92"/>
      <c r="AH244" s="241"/>
      <c r="AI244" s="556"/>
      <c r="AJ244" s="598"/>
      <c r="AK244" s="599"/>
      <c r="AL244" s="599"/>
      <c r="AM244" s="386"/>
      <c r="AN244" s="386"/>
      <c r="AO244" s="386"/>
      <c r="AP244" s="386"/>
      <c r="AQ244" s="386"/>
      <c r="AR244" s="386"/>
      <c r="AS244" s="386"/>
      <c r="AT244" s="386"/>
      <c r="AU244" s="386"/>
      <c r="AV244" s="386"/>
      <c r="AW244" s="386"/>
      <c r="AX244" s="386"/>
      <c r="AY244" s="386"/>
      <c r="AZ244" s="386"/>
      <c r="BA244" s="386"/>
      <c r="BB244" s="386"/>
      <c r="BC244" s="386"/>
      <c r="BD244" s="386"/>
      <c r="BE244" s="386"/>
      <c r="BF244" s="386"/>
      <c r="BG244" s="386"/>
      <c r="BH244" s="386"/>
      <c r="BI244" s="386"/>
      <c r="BJ244" s="386"/>
      <c r="BK244" s="386"/>
      <c r="BL244" s="386"/>
      <c r="BM244" s="386"/>
      <c r="BN244" s="386"/>
      <c r="BO244" s="386"/>
      <c r="BP244" s="386"/>
    </row>
    <row r="245" spans="1:68" ht="15.75" customHeight="1" x14ac:dyDescent="0.25">
      <c r="C245" s="894" t="s">
        <v>322</v>
      </c>
      <c r="D245" s="894"/>
      <c r="E245" s="894"/>
      <c r="F245" s="894"/>
      <c r="G245" s="894"/>
      <c r="H245" s="894"/>
      <c r="I245" s="894"/>
      <c r="J245" s="894"/>
      <c r="K245" s="894"/>
      <c r="L245" s="894"/>
      <c r="M245" s="894"/>
      <c r="N245" s="894"/>
      <c r="O245" s="894"/>
      <c r="P245" s="894"/>
      <c r="Q245" s="894"/>
      <c r="R245" s="894"/>
      <c r="S245" s="894"/>
      <c r="T245" s="894"/>
      <c r="U245" s="894"/>
      <c r="V245" s="894"/>
      <c r="W245" s="894"/>
      <c r="X245" s="894"/>
      <c r="Y245" s="894"/>
      <c r="Z245" s="894"/>
      <c r="AA245" s="894"/>
      <c r="AB245" s="894"/>
      <c r="AC245" s="894"/>
      <c r="AD245" s="894"/>
      <c r="AE245" s="894"/>
      <c r="AF245" s="894"/>
      <c r="AG245" s="894"/>
      <c r="AH245" s="238"/>
      <c r="AI245" s="599"/>
      <c r="AJ245" s="557"/>
      <c r="AK245" s="556"/>
      <c r="AL245" s="556"/>
    </row>
    <row r="246" spans="1:68" ht="15.75" customHeight="1" x14ac:dyDescent="0.2">
      <c r="C246" s="5" t="s">
        <v>854</v>
      </c>
      <c r="D246" s="5"/>
      <c r="E246" s="5"/>
      <c r="AH246" s="222"/>
      <c r="AI246" s="556"/>
      <c r="AJ246" s="557"/>
      <c r="AK246" s="556"/>
      <c r="AL246" s="556"/>
    </row>
    <row r="247" spans="1:68" ht="15.75" customHeight="1" x14ac:dyDescent="0.2">
      <c r="C247" s="22" t="s">
        <v>856</v>
      </c>
      <c r="D247" s="22"/>
      <c r="E247" s="22"/>
      <c r="AH247" s="222"/>
      <c r="AI247" s="556"/>
      <c r="AJ247" s="557"/>
      <c r="AK247" s="556"/>
      <c r="AL247" s="556"/>
    </row>
    <row r="248" spans="1:68" ht="5.25" customHeight="1" x14ac:dyDescent="0.2">
      <c r="AH248" s="222"/>
      <c r="AI248" s="556"/>
      <c r="AJ248" s="557"/>
      <c r="AK248" s="556"/>
      <c r="AL248" s="556"/>
    </row>
    <row r="249" spans="1:68" ht="12.75" customHeight="1" x14ac:dyDescent="0.2">
      <c r="C249" s="687" t="s">
        <v>859</v>
      </c>
      <c r="D249" s="688"/>
      <c r="E249" s="688"/>
      <c r="F249" s="688"/>
      <c r="G249" s="688"/>
      <c r="H249" s="688"/>
      <c r="I249" s="688"/>
      <c r="J249" s="688"/>
      <c r="K249" s="688"/>
      <c r="L249" s="688"/>
      <c r="M249" s="688"/>
      <c r="N249" s="688"/>
      <c r="O249" s="688"/>
      <c r="P249" s="688"/>
      <c r="Q249" s="688"/>
      <c r="R249" s="688"/>
      <c r="S249" s="688"/>
      <c r="T249" s="688"/>
      <c r="U249" s="688"/>
      <c r="V249" s="688"/>
      <c r="W249" s="688"/>
      <c r="X249" s="688"/>
      <c r="Y249" s="688"/>
      <c r="Z249" s="688"/>
      <c r="AA249" s="689"/>
      <c r="AB249" s="918" t="s">
        <v>860</v>
      </c>
      <c r="AC249" s="919"/>
      <c r="AD249" s="919"/>
      <c r="AE249" s="919"/>
      <c r="AF249" s="920"/>
      <c r="AH249" s="222"/>
      <c r="AI249" s="556"/>
      <c r="AJ249" s="557"/>
      <c r="AK249" s="556"/>
      <c r="AL249" s="556"/>
    </row>
    <row r="250" spans="1:68" ht="11.25" customHeight="1" x14ac:dyDescent="0.2">
      <c r="C250" s="983"/>
      <c r="D250" s="984"/>
      <c r="E250" s="984"/>
      <c r="F250" s="984"/>
      <c r="G250" s="984"/>
      <c r="H250" s="984"/>
      <c r="I250" s="984"/>
      <c r="J250" s="984"/>
      <c r="K250" s="984"/>
      <c r="L250" s="984"/>
      <c r="M250" s="984"/>
      <c r="N250" s="984"/>
      <c r="O250" s="984"/>
      <c r="P250" s="984"/>
      <c r="Q250" s="984"/>
      <c r="R250" s="984"/>
      <c r="S250" s="984"/>
      <c r="T250" s="984"/>
      <c r="U250" s="984"/>
      <c r="V250" s="984"/>
      <c r="W250" s="984"/>
      <c r="X250" s="984"/>
      <c r="Y250" s="984"/>
      <c r="Z250" s="984"/>
      <c r="AA250" s="985"/>
      <c r="AB250" s="1054" t="s">
        <v>862</v>
      </c>
      <c r="AC250" s="1055"/>
      <c r="AD250" s="1055"/>
      <c r="AE250" s="1055"/>
      <c r="AF250" s="1056"/>
      <c r="AH250" s="222"/>
      <c r="AI250" s="556"/>
      <c r="AJ250" s="557"/>
      <c r="AK250" s="556"/>
      <c r="AL250" s="556"/>
    </row>
    <row r="251" spans="1:68" ht="15.75" customHeight="1" x14ac:dyDescent="0.2">
      <c r="A251" s="560">
        <f>IF(AB251="Yes",1,IF(AB252="Yes",1, IF(AB265="Yes",1,0)))</f>
        <v>0</v>
      </c>
      <c r="C251" s="1221" t="s">
        <v>863</v>
      </c>
      <c r="D251" s="850"/>
      <c r="E251" s="850"/>
      <c r="F251" s="850"/>
      <c r="G251" s="850"/>
      <c r="H251" s="850"/>
      <c r="I251" s="850"/>
      <c r="J251" s="850"/>
      <c r="K251" s="850"/>
      <c r="L251" s="850"/>
      <c r="M251" s="850"/>
      <c r="N251" s="850"/>
      <c r="O251" s="850"/>
      <c r="P251" s="850"/>
      <c r="Q251" s="850"/>
      <c r="R251" s="850"/>
      <c r="S251" s="850"/>
      <c r="T251" s="850"/>
      <c r="U251" s="850"/>
      <c r="V251" s="850"/>
      <c r="W251" s="850"/>
      <c r="X251" s="850"/>
      <c r="Y251" s="850"/>
      <c r="Z251" s="850"/>
      <c r="AA251" s="851"/>
      <c r="AB251" s="972"/>
      <c r="AC251" s="973"/>
      <c r="AD251" s="973"/>
      <c r="AE251" s="973"/>
      <c r="AF251" s="974"/>
      <c r="AH251" s="222"/>
      <c r="AI251" s="556"/>
      <c r="AJ251" s="557">
        <f>IF(COUNTBLANK(AB251:AB266)=0,1,0)</f>
        <v>0</v>
      </c>
      <c r="AK251" s="556">
        <f>IF(AF125="X", IF(AJ251=0,1,2),0)</f>
        <v>0</v>
      </c>
      <c r="AL251" s="556"/>
    </row>
    <row r="252" spans="1:68" ht="15.75" customHeight="1" x14ac:dyDescent="0.2">
      <c r="C252" s="1221" t="s">
        <v>865</v>
      </c>
      <c r="D252" s="850"/>
      <c r="E252" s="850"/>
      <c r="F252" s="850"/>
      <c r="G252" s="850"/>
      <c r="H252" s="850"/>
      <c r="I252" s="850"/>
      <c r="J252" s="850"/>
      <c r="K252" s="850"/>
      <c r="L252" s="850"/>
      <c r="M252" s="850"/>
      <c r="N252" s="850"/>
      <c r="O252" s="850"/>
      <c r="P252" s="850"/>
      <c r="Q252" s="850"/>
      <c r="R252" s="850"/>
      <c r="S252" s="850"/>
      <c r="T252" s="850"/>
      <c r="U252" s="850"/>
      <c r="V252" s="850"/>
      <c r="W252" s="850"/>
      <c r="X252" s="850"/>
      <c r="Y252" s="850"/>
      <c r="Z252" s="850"/>
      <c r="AA252" s="851"/>
      <c r="AB252" s="972"/>
      <c r="AC252" s="973"/>
      <c r="AD252" s="973"/>
      <c r="AE252" s="973"/>
      <c r="AF252" s="974"/>
      <c r="AH252" s="222"/>
      <c r="AI252" s="557"/>
      <c r="AJ252" s="557"/>
      <c r="AK252" s="556"/>
      <c r="AL252" s="556"/>
    </row>
    <row r="253" spans="1:68" ht="15.75" customHeight="1" x14ac:dyDescent="0.2">
      <c r="C253" s="1221" t="s">
        <v>867</v>
      </c>
      <c r="D253" s="850"/>
      <c r="E253" s="850"/>
      <c r="F253" s="850"/>
      <c r="G253" s="850"/>
      <c r="H253" s="850"/>
      <c r="I253" s="850"/>
      <c r="J253" s="850"/>
      <c r="K253" s="850"/>
      <c r="L253" s="850"/>
      <c r="M253" s="850"/>
      <c r="N253" s="850"/>
      <c r="O253" s="850"/>
      <c r="P253" s="850"/>
      <c r="Q253" s="850"/>
      <c r="R253" s="850"/>
      <c r="S253" s="850"/>
      <c r="T253" s="850"/>
      <c r="U253" s="850"/>
      <c r="V253" s="850"/>
      <c r="W253" s="850"/>
      <c r="X253" s="850"/>
      <c r="Y253" s="850"/>
      <c r="Z253" s="850"/>
      <c r="AA253" s="851"/>
      <c r="AB253" s="972"/>
      <c r="AC253" s="973"/>
      <c r="AD253" s="973"/>
      <c r="AE253" s="973"/>
      <c r="AF253" s="974"/>
      <c r="AH253" s="222"/>
      <c r="AI253" s="557"/>
      <c r="AJ253" s="557"/>
      <c r="AK253" s="556"/>
      <c r="AL253" s="556"/>
    </row>
    <row r="254" spans="1:68" ht="15.75" customHeight="1" x14ac:dyDescent="0.2">
      <c r="C254" s="1221" t="s">
        <v>931</v>
      </c>
      <c r="D254" s="850"/>
      <c r="E254" s="850"/>
      <c r="F254" s="850"/>
      <c r="G254" s="850"/>
      <c r="H254" s="850"/>
      <c r="I254" s="850"/>
      <c r="J254" s="850"/>
      <c r="K254" s="850"/>
      <c r="L254" s="850"/>
      <c r="M254" s="850"/>
      <c r="N254" s="850"/>
      <c r="O254" s="850"/>
      <c r="P254" s="850"/>
      <c r="Q254" s="850"/>
      <c r="R254" s="850"/>
      <c r="S254" s="850"/>
      <c r="T254" s="850"/>
      <c r="U254" s="850"/>
      <c r="V254" s="850"/>
      <c r="W254" s="850"/>
      <c r="X254" s="850"/>
      <c r="Y254" s="850"/>
      <c r="Z254" s="850"/>
      <c r="AA254" s="851"/>
      <c r="AB254" s="972"/>
      <c r="AC254" s="973"/>
      <c r="AD254" s="973"/>
      <c r="AE254" s="973"/>
      <c r="AF254" s="974"/>
      <c r="AH254" s="222"/>
      <c r="AI254" s="557"/>
      <c r="AJ254" s="557"/>
      <c r="AK254" s="556"/>
      <c r="AL254" s="556"/>
    </row>
    <row r="255" spans="1:68" ht="15.75" customHeight="1" x14ac:dyDescent="0.2">
      <c r="C255" s="1035" t="s">
        <v>870</v>
      </c>
      <c r="D255" s="1036"/>
      <c r="E255" s="1036"/>
      <c r="F255" s="1036"/>
      <c r="G255" s="1036"/>
      <c r="H255" s="1036"/>
      <c r="I255" s="1036"/>
      <c r="J255" s="1036"/>
      <c r="K255" s="1036"/>
      <c r="L255" s="1036"/>
      <c r="M255" s="1036"/>
      <c r="N255" s="1036"/>
      <c r="O255" s="1036"/>
      <c r="P255" s="1036"/>
      <c r="Q255" s="1036"/>
      <c r="R255" s="1036"/>
      <c r="S255" s="1036"/>
      <c r="T255" s="1036"/>
      <c r="U255" s="1036"/>
      <c r="V255" s="1036"/>
      <c r="W255" s="1036"/>
      <c r="X255" s="1036"/>
      <c r="Y255" s="1036"/>
      <c r="Z255" s="1036"/>
      <c r="AA255" s="1037"/>
      <c r="AB255" s="972"/>
      <c r="AC255" s="973"/>
      <c r="AD255" s="973"/>
      <c r="AE255" s="973"/>
      <c r="AF255" s="974"/>
      <c r="AH255" s="222"/>
      <c r="AI255" s="557"/>
      <c r="AJ255" s="557"/>
      <c r="AK255" s="556"/>
      <c r="AL255" s="556"/>
    </row>
    <row r="256" spans="1:68" ht="15.75" customHeight="1" x14ac:dyDescent="0.2">
      <c r="C256" s="1035" t="s">
        <v>872</v>
      </c>
      <c r="D256" s="1036"/>
      <c r="E256" s="1036"/>
      <c r="F256" s="1036"/>
      <c r="G256" s="1036"/>
      <c r="H256" s="1036"/>
      <c r="I256" s="1036"/>
      <c r="J256" s="1036"/>
      <c r="K256" s="1036"/>
      <c r="L256" s="1036"/>
      <c r="M256" s="1036"/>
      <c r="N256" s="1036"/>
      <c r="O256" s="1036"/>
      <c r="P256" s="1036"/>
      <c r="Q256" s="1036"/>
      <c r="R256" s="1036"/>
      <c r="S256" s="1036"/>
      <c r="T256" s="1036"/>
      <c r="U256" s="1036"/>
      <c r="V256" s="1036"/>
      <c r="W256" s="1036"/>
      <c r="X256" s="1036"/>
      <c r="Y256" s="1036"/>
      <c r="Z256" s="1036"/>
      <c r="AA256" s="1037"/>
      <c r="AB256" s="972"/>
      <c r="AC256" s="973"/>
      <c r="AD256" s="973"/>
      <c r="AE256" s="973"/>
      <c r="AF256" s="974"/>
      <c r="AH256" s="222"/>
      <c r="AI256" s="557"/>
      <c r="AJ256" s="557"/>
      <c r="AK256" s="556"/>
      <c r="AL256" s="556"/>
    </row>
    <row r="257" spans="1:38" ht="15.75" customHeight="1" x14ac:dyDescent="0.2">
      <c r="C257" s="1035" t="s">
        <v>874</v>
      </c>
      <c r="D257" s="1036"/>
      <c r="E257" s="1036"/>
      <c r="F257" s="1036"/>
      <c r="G257" s="1036"/>
      <c r="H257" s="1036"/>
      <c r="I257" s="1036"/>
      <c r="J257" s="1036"/>
      <c r="K257" s="1036"/>
      <c r="L257" s="1036"/>
      <c r="M257" s="1036"/>
      <c r="N257" s="1036"/>
      <c r="O257" s="1036"/>
      <c r="P257" s="1036"/>
      <c r="Q257" s="1036"/>
      <c r="R257" s="1036"/>
      <c r="S257" s="1036"/>
      <c r="T257" s="1036"/>
      <c r="U257" s="1036"/>
      <c r="V257" s="1036"/>
      <c r="W257" s="1036"/>
      <c r="X257" s="1036"/>
      <c r="Y257" s="1036"/>
      <c r="Z257" s="1036"/>
      <c r="AA257" s="1037"/>
      <c r="AB257" s="972"/>
      <c r="AC257" s="973"/>
      <c r="AD257" s="973"/>
      <c r="AE257" s="973"/>
      <c r="AF257" s="974"/>
      <c r="AH257" s="222"/>
      <c r="AI257" s="557"/>
      <c r="AJ257" s="557"/>
      <c r="AK257" s="556"/>
      <c r="AL257" s="556"/>
    </row>
    <row r="258" spans="1:38" ht="15.75" customHeight="1" x14ac:dyDescent="0.2">
      <c r="C258" s="1035" t="s">
        <v>876</v>
      </c>
      <c r="D258" s="1036"/>
      <c r="E258" s="1036"/>
      <c r="F258" s="1036"/>
      <c r="G258" s="1036"/>
      <c r="H258" s="1036"/>
      <c r="I258" s="1036"/>
      <c r="J258" s="1036"/>
      <c r="K258" s="1036"/>
      <c r="L258" s="1036"/>
      <c r="M258" s="1036"/>
      <c r="N258" s="1036"/>
      <c r="O258" s="1036"/>
      <c r="P258" s="1036"/>
      <c r="Q258" s="1036"/>
      <c r="R258" s="1036"/>
      <c r="S258" s="1036"/>
      <c r="T258" s="1036"/>
      <c r="U258" s="1036"/>
      <c r="V258" s="1036"/>
      <c r="W258" s="1036"/>
      <c r="X258" s="1036"/>
      <c r="Y258" s="1036"/>
      <c r="Z258" s="1036"/>
      <c r="AA258" s="1037"/>
      <c r="AB258" s="972"/>
      <c r="AC258" s="973"/>
      <c r="AD258" s="973"/>
      <c r="AE258" s="973"/>
      <c r="AF258" s="974"/>
      <c r="AH258" s="222"/>
      <c r="AI258" s="557"/>
      <c r="AJ258" s="557"/>
      <c r="AK258" s="556"/>
      <c r="AL258" s="556"/>
    </row>
    <row r="259" spans="1:38" ht="15.75" customHeight="1" x14ac:dyDescent="0.2">
      <c r="C259" s="1035" t="s">
        <v>891</v>
      </c>
      <c r="D259" s="1036"/>
      <c r="E259" s="1036"/>
      <c r="F259" s="1036"/>
      <c r="G259" s="1036"/>
      <c r="H259" s="1036"/>
      <c r="I259" s="1036"/>
      <c r="J259" s="1036"/>
      <c r="K259" s="1036"/>
      <c r="L259" s="1036"/>
      <c r="M259" s="1036"/>
      <c r="N259" s="1036"/>
      <c r="O259" s="1036"/>
      <c r="P259" s="1036"/>
      <c r="Q259" s="1036"/>
      <c r="R259" s="1036"/>
      <c r="S259" s="1036"/>
      <c r="T259" s="1036"/>
      <c r="U259" s="1036"/>
      <c r="V259" s="1036"/>
      <c r="W259" s="1036"/>
      <c r="X259" s="1036"/>
      <c r="Y259" s="1036"/>
      <c r="Z259" s="1036"/>
      <c r="AA259" s="1037"/>
      <c r="AB259" s="972"/>
      <c r="AC259" s="973"/>
      <c r="AD259" s="973"/>
      <c r="AE259" s="973"/>
      <c r="AF259" s="974"/>
      <c r="AH259" s="222"/>
      <c r="AI259" s="557"/>
      <c r="AJ259" s="557"/>
      <c r="AK259" s="556"/>
      <c r="AL259" s="556"/>
    </row>
    <row r="260" spans="1:38" ht="15.75" customHeight="1" x14ac:dyDescent="0.2">
      <c r="C260" s="1035" t="s">
        <v>893</v>
      </c>
      <c r="D260" s="1036"/>
      <c r="E260" s="1036"/>
      <c r="F260" s="1036"/>
      <c r="G260" s="1036"/>
      <c r="H260" s="1036"/>
      <c r="I260" s="1036"/>
      <c r="J260" s="1036"/>
      <c r="K260" s="1036"/>
      <c r="L260" s="1036"/>
      <c r="M260" s="1036"/>
      <c r="N260" s="1036"/>
      <c r="O260" s="1036"/>
      <c r="P260" s="1036"/>
      <c r="Q260" s="1036"/>
      <c r="R260" s="1036"/>
      <c r="S260" s="1036"/>
      <c r="T260" s="1036"/>
      <c r="U260" s="1036"/>
      <c r="V260" s="1036"/>
      <c r="W260" s="1036"/>
      <c r="X260" s="1036"/>
      <c r="Y260" s="1036"/>
      <c r="Z260" s="1036"/>
      <c r="AA260" s="1037"/>
      <c r="AB260" s="972"/>
      <c r="AC260" s="973"/>
      <c r="AD260" s="973"/>
      <c r="AE260" s="973"/>
      <c r="AF260" s="974"/>
      <c r="AH260" s="222"/>
      <c r="AI260" s="557"/>
      <c r="AJ260" s="557"/>
      <c r="AK260" s="556"/>
      <c r="AL260" s="556"/>
    </row>
    <row r="261" spans="1:38" ht="25.5" customHeight="1" x14ac:dyDescent="0.2">
      <c r="C261" s="975" t="s">
        <v>914</v>
      </c>
      <c r="D261" s="976"/>
      <c r="E261" s="976"/>
      <c r="F261" s="976"/>
      <c r="G261" s="976"/>
      <c r="H261" s="976"/>
      <c r="I261" s="976"/>
      <c r="J261" s="976"/>
      <c r="K261" s="976"/>
      <c r="L261" s="976"/>
      <c r="M261" s="976"/>
      <c r="N261" s="976"/>
      <c r="O261" s="976"/>
      <c r="P261" s="976"/>
      <c r="Q261" s="976"/>
      <c r="R261" s="976"/>
      <c r="S261" s="976"/>
      <c r="T261" s="976"/>
      <c r="U261" s="976"/>
      <c r="V261" s="976"/>
      <c r="W261" s="976"/>
      <c r="X261" s="976"/>
      <c r="Y261" s="976"/>
      <c r="Z261" s="976"/>
      <c r="AA261" s="977"/>
      <c r="AB261" s="972"/>
      <c r="AC261" s="973"/>
      <c r="AD261" s="973"/>
      <c r="AE261" s="973"/>
      <c r="AF261" s="974"/>
      <c r="AH261" s="222"/>
      <c r="AI261" s="557"/>
      <c r="AJ261" s="557"/>
      <c r="AK261" s="556"/>
      <c r="AL261" s="556"/>
    </row>
    <row r="262" spans="1:38" ht="37.9" customHeight="1" x14ac:dyDescent="0.2">
      <c r="C262" s="975" t="s">
        <v>916</v>
      </c>
      <c r="D262" s="976"/>
      <c r="E262" s="976"/>
      <c r="F262" s="976"/>
      <c r="G262" s="976"/>
      <c r="H262" s="976"/>
      <c r="I262" s="976"/>
      <c r="J262" s="976"/>
      <c r="K262" s="976"/>
      <c r="L262" s="976"/>
      <c r="M262" s="976"/>
      <c r="N262" s="976"/>
      <c r="O262" s="976"/>
      <c r="P262" s="976"/>
      <c r="Q262" s="976"/>
      <c r="R262" s="976"/>
      <c r="S262" s="976"/>
      <c r="T262" s="976"/>
      <c r="U262" s="976"/>
      <c r="V262" s="976"/>
      <c r="W262" s="976"/>
      <c r="X262" s="976"/>
      <c r="Y262" s="976"/>
      <c r="Z262" s="976"/>
      <c r="AA262" s="977"/>
      <c r="AB262" s="972"/>
      <c r="AC262" s="973"/>
      <c r="AD262" s="973"/>
      <c r="AE262" s="973"/>
      <c r="AF262" s="974"/>
      <c r="AH262" s="222"/>
      <c r="AI262" s="557"/>
      <c r="AJ262" s="557"/>
      <c r="AK262" s="556"/>
      <c r="AL262" s="556"/>
    </row>
    <row r="263" spans="1:38" ht="24.75" customHeight="1" x14ac:dyDescent="0.2">
      <c r="C263" s="975" t="s">
        <v>918</v>
      </c>
      <c r="D263" s="976"/>
      <c r="E263" s="976"/>
      <c r="F263" s="976"/>
      <c r="G263" s="976"/>
      <c r="H263" s="976"/>
      <c r="I263" s="976"/>
      <c r="J263" s="976"/>
      <c r="K263" s="976"/>
      <c r="L263" s="976"/>
      <c r="M263" s="976"/>
      <c r="N263" s="976"/>
      <c r="O263" s="976"/>
      <c r="P263" s="976"/>
      <c r="Q263" s="976"/>
      <c r="R263" s="976"/>
      <c r="S263" s="976"/>
      <c r="T263" s="976"/>
      <c r="U263" s="976"/>
      <c r="V263" s="976"/>
      <c r="W263" s="976"/>
      <c r="X263" s="976"/>
      <c r="Y263" s="976"/>
      <c r="Z263" s="976"/>
      <c r="AA263" s="977"/>
      <c r="AB263" s="972"/>
      <c r="AC263" s="973"/>
      <c r="AD263" s="973"/>
      <c r="AE263" s="973"/>
      <c r="AF263" s="974"/>
      <c r="AH263" s="222"/>
      <c r="AI263" s="557"/>
      <c r="AJ263" s="557"/>
      <c r="AK263" s="556"/>
      <c r="AL263" s="556"/>
    </row>
    <row r="264" spans="1:38" ht="39" customHeight="1" x14ac:dyDescent="0.2">
      <c r="C264" s="975" t="s">
        <v>920</v>
      </c>
      <c r="D264" s="976"/>
      <c r="E264" s="976"/>
      <c r="F264" s="976"/>
      <c r="G264" s="976"/>
      <c r="H264" s="976"/>
      <c r="I264" s="976"/>
      <c r="J264" s="976"/>
      <c r="K264" s="976"/>
      <c r="L264" s="976"/>
      <c r="M264" s="976"/>
      <c r="N264" s="976"/>
      <c r="O264" s="976"/>
      <c r="P264" s="976"/>
      <c r="Q264" s="976"/>
      <c r="R264" s="976"/>
      <c r="S264" s="976"/>
      <c r="T264" s="976"/>
      <c r="U264" s="976"/>
      <c r="V264" s="976"/>
      <c r="W264" s="976"/>
      <c r="X264" s="976"/>
      <c r="Y264" s="976"/>
      <c r="Z264" s="976"/>
      <c r="AA264" s="977"/>
      <c r="AB264" s="972"/>
      <c r="AC264" s="973"/>
      <c r="AD264" s="973"/>
      <c r="AE264" s="973"/>
      <c r="AF264" s="974"/>
      <c r="AH264" s="222"/>
      <c r="AI264" s="557"/>
      <c r="AJ264" s="557"/>
      <c r="AK264" s="556"/>
      <c r="AL264" s="556"/>
    </row>
    <row r="265" spans="1:38" ht="15.6" customHeight="1" x14ac:dyDescent="0.2">
      <c r="C265" s="1221" t="s">
        <v>922</v>
      </c>
      <c r="D265" s="850"/>
      <c r="E265" s="850"/>
      <c r="F265" s="850"/>
      <c r="G265" s="850"/>
      <c r="H265" s="850"/>
      <c r="I265" s="850"/>
      <c r="J265" s="850"/>
      <c r="K265" s="850"/>
      <c r="L265" s="850"/>
      <c r="M265" s="850"/>
      <c r="N265" s="850"/>
      <c r="O265" s="850"/>
      <c r="P265" s="850"/>
      <c r="Q265" s="850"/>
      <c r="R265" s="850"/>
      <c r="S265" s="850"/>
      <c r="T265" s="850"/>
      <c r="U265" s="850"/>
      <c r="V265" s="850"/>
      <c r="W265" s="850"/>
      <c r="X265" s="850"/>
      <c r="Y265" s="850"/>
      <c r="Z265" s="850"/>
      <c r="AA265" s="851"/>
      <c r="AB265" s="972"/>
      <c r="AC265" s="973"/>
      <c r="AD265" s="973"/>
      <c r="AE265" s="973"/>
      <c r="AF265" s="974"/>
      <c r="AH265" s="222"/>
      <c r="AI265" s="557"/>
      <c r="AJ265" s="557"/>
      <c r="AK265" s="556"/>
      <c r="AL265" s="556"/>
    </row>
    <row r="266" spans="1:38" ht="25.15" customHeight="1" x14ac:dyDescent="0.2">
      <c r="C266" s="654" t="s">
        <v>625</v>
      </c>
      <c r="D266" s="655"/>
      <c r="E266" s="655"/>
      <c r="F266" s="655"/>
      <c r="G266" s="655"/>
      <c r="H266" s="655"/>
      <c r="I266" s="655"/>
      <c r="J266" s="655"/>
      <c r="K266" s="655"/>
      <c r="L266" s="655"/>
      <c r="M266" s="655"/>
      <c r="N266" s="655"/>
      <c r="O266" s="655"/>
      <c r="P266" s="655"/>
      <c r="Q266" s="655"/>
      <c r="R266" s="655"/>
      <c r="S266" s="655"/>
      <c r="T266" s="655"/>
      <c r="U266" s="655"/>
      <c r="V266" s="655"/>
      <c r="W266" s="655"/>
      <c r="X266" s="655"/>
      <c r="Y266" s="655"/>
      <c r="Z266" s="655"/>
      <c r="AA266" s="656"/>
      <c r="AB266" s="1399"/>
      <c r="AC266" s="1400"/>
      <c r="AD266" s="1400"/>
      <c r="AE266" s="1400"/>
      <c r="AF266" s="1401"/>
      <c r="AH266" s="222"/>
      <c r="AI266" s="557"/>
      <c r="AJ266" s="557"/>
      <c r="AK266" s="556"/>
      <c r="AL266" s="556"/>
    </row>
    <row r="267" spans="1:38" ht="11.45" customHeight="1" x14ac:dyDescent="0.2">
      <c r="C267" s="1644" t="s">
        <v>626</v>
      </c>
      <c r="D267" s="1645"/>
      <c r="E267" s="1645"/>
      <c r="F267" s="1645"/>
      <c r="G267" s="1645"/>
      <c r="H267" s="1645"/>
      <c r="I267" s="1645"/>
      <c r="J267" s="1645"/>
      <c r="K267" s="1645"/>
      <c r="L267" s="1645"/>
      <c r="M267" s="1645"/>
      <c r="N267" s="1645"/>
      <c r="O267" s="1645"/>
      <c r="P267" s="1645"/>
      <c r="Q267" s="1645"/>
      <c r="R267" s="1645"/>
      <c r="S267" s="1645"/>
      <c r="T267" s="1645"/>
      <c r="U267" s="1645"/>
      <c r="V267" s="1645"/>
      <c r="W267" s="1645"/>
      <c r="X267" s="1645"/>
      <c r="Y267" s="1645"/>
      <c r="Z267" s="1645"/>
      <c r="AA267" s="1646"/>
      <c r="AB267" s="1402"/>
      <c r="AC267" s="1403"/>
      <c r="AD267" s="1403"/>
      <c r="AE267" s="1403"/>
      <c r="AF267" s="1404"/>
      <c r="AH267" s="222"/>
      <c r="AI267" s="557"/>
      <c r="AJ267" s="557"/>
      <c r="AK267" s="556"/>
      <c r="AL267" s="556"/>
    </row>
    <row r="268" spans="1:38" ht="17.25" customHeight="1" x14ac:dyDescent="0.2">
      <c r="C268" s="1218" t="s">
        <v>624</v>
      </c>
      <c r="D268" s="1219"/>
      <c r="E268" s="1219"/>
      <c r="F268" s="1219"/>
      <c r="G268" s="1219"/>
      <c r="H268" s="1219"/>
      <c r="I268" s="1219"/>
      <c r="J268" s="1219"/>
      <c r="K268" s="1219"/>
      <c r="L268" s="1219"/>
      <c r="M268" s="1219"/>
      <c r="N268" s="1219"/>
      <c r="O268" s="1219"/>
      <c r="P268" s="1219"/>
      <c r="Q268" s="1219"/>
      <c r="R268" s="1219"/>
      <c r="S268" s="1219"/>
      <c r="T268" s="1219"/>
      <c r="U268" s="1219"/>
      <c r="V268" s="1219"/>
      <c r="W268" s="1219"/>
      <c r="X268" s="1219"/>
      <c r="Y268" s="1220"/>
      <c r="Z268" s="1218" t="s">
        <v>926</v>
      </c>
      <c r="AA268" s="1219"/>
      <c r="AB268" s="1408"/>
      <c r="AC268" s="1408"/>
      <c r="AD268" s="1408"/>
      <c r="AE268" s="1408"/>
      <c r="AF268" s="1409"/>
      <c r="AG268" s="5"/>
      <c r="AH268" s="438"/>
      <c r="AI268" s="557"/>
      <c r="AJ268" s="557"/>
      <c r="AK268" s="556"/>
      <c r="AL268" s="556"/>
    </row>
    <row r="269" spans="1:38" ht="17.25" customHeight="1" x14ac:dyDescent="0.2">
      <c r="C269" s="1194"/>
      <c r="D269" s="1195"/>
      <c r="E269" s="1195"/>
      <c r="F269" s="1195"/>
      <c r="G269" s="1195"/>
      <c r="H269" s="1195"/>
      <c r="I269" s="1195"/>
      <c r="J269" s="1195"/>
      <c r="K269" s="1195"/>
      <c r="L269" s="1195"/>
      <c r="M269" s="1195"/>
      <c r="N269" s="1195"/>
      <c r="O269" s="1195"/>
      <c r="P269" s="1195"/>
      <c r="Q269" s="1195"/>
      <c r="R269" s="1195"/>
      <c r="S269" s="1195"/>
      <c r="T269" s="1195"/>
      <c r="U269" s="1195"/>
      <c r="V269" s="1195"/>
      <c r="W269" s="1195"/>
      <c r="X269" s="1195"/>
      <c r="Y269" s="1196"/>
      <c r="Z269" s="1208"/>
      <c r="AA269" s="1209"/>
      <c r="AB269" s="1209"/>
      <c r="AC269" s="1209"/>
      <c r="AD269" s="1209"/>
      <c r="AE269" s="1209"/>
      <c r="AF269" s="1210"/>
      <c r="AH269" s="222"/>
      <c r="AI269" s="556"/>
      <c r="AJ269" s="557"/>
      <c r="AK269" s="556"/>
      <c r="AL269" s="556"/>
    </row>
    <row r="270" spans="1:38" ht="17.25" customHeight="1" x14ac:dyDescent="0.2">
      <c r="C270" s="1194"/>
      <c r="D270" s="1195"/>
      <c r="E270" s="1195"/>
      <c r="F270" s="1195"/>
      <c r="G270" s="1195"/>
      <c r="H270" s="1195"/>
      <c r="I270" s="1195"/>
      <c r="J270" s="1195"/>
      <c r="K270" s="1195"/>
      <c r="L270" s="1195"/>
      <c r="M270" s="1195"/>
      <c r="N270" s="1195"/>
      <c r="O270" s="1195"/>
      <c r="P270" s="1195"/>
      <c r="Q270" s="1195"/>
      <c r="R270" s="1195"/>
      <c r="S270" s="1195"/>
      <c r="T270" s="1195"/>
      <c r="U270" s="1195"/>
      <c r="V270" s="1195"/>
      <c r="W270" s="1195"/>
      <c r="X270" s="1195"/>
      <c r="Y270" s="1196"/>
      <c r="Z270" s="1208"/>
      <c r="AA270" s="1209"/>
      <c r="AB270" s="1209"/>
      <c r="AC270" s="1209"/>
      <c r="AD270" s="1209"/>
      <c r="AE270" s="1209"/>
      <c r="AF270" s="1210"/>
      <c r="AH270" s="222"/>
      <c r="AI270" s="556"/>
      <c r="AJ270" s="557"/>
      <c r="AK270" s="556"/>
      <c r="AL270" s="556"/>
    </row>
    <row r="271" spans="1:38" ht="16.5" customHeight="1" x14ac:dyDescent="0.2">
      <c r="C271" s="1194"/>
      <c r="D271" s="1195"/>
      <c r="E271" s="1195"/>
      <c r="F271" s="1195"/>
      <c r="G271" s="1195"/>
      <c r="H271" s="1195"/>
      <c r="I271" s="1195"/>
      <c r="J271" s="1195"/>
      <c r="K271" s="1195"/>
      <c r="L271" s="1195"/>
      <c r="M271" s="1195"/>
      <c r="N271" s="1195"/>
      <c r="O271" s="1195"/>
      <c r="P271" s="1195"/>
      <c r="Q271" s="1195"/>
      <c r="R271" s="1195"/>
      <c r="S271" s="1195"/>
      <c r="T271" s="1195"/>
      <c r="U271" s="1195"/>
      <c r="V271" s="1195"/>
      <c r="W271" s="1195"/>
      <c r="X271" s="1195"/>
      <c r="Y271" s="1196"/>
      <c r="Z271" s="1208"/>
      <c r="AA271" s="1209"/>
      <c r="AB271" s="1209"/>
      <c r="AC271" s="1209"/>
      <c r="AD271" s="1209"/>
      <c r="AE271" s="1209"/>
      <c r="AF271" s="1210"/>
      <c r="AH271" s="222"/>
      <c r="AI271" s="556"/>
      <c r="AJ271" s="557"/>
      <c r="AK271" s="556"/>
      <c r="AL271" s="556"/>
    </row>
    <row r="272" spans="1:38" ht="3.75" customHeight="1" x14ac:dyDescent="0.2">
      <c r="A272" s="556"/>
      <c r="B272" s="341"/>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c r="AA272" s="439"/>
      <c r="AB272" s="439"/>
      <c r="AC272" s="439"/>
      <c r="AD272" s="439"/>
      <c r="AE272" s="439"/>
      <c r="AF272" s="439"/>
      <c r="AG272" s="439"/>
      <c r="AH272" s="439"/>
      <c r="AI272" s="556"/>
      <c r="AJ272" s="557"/>
      <c r="AK272" s="556"/>
      <c r="AL272" s="556"/>
    </row>
    <row r="273" spans="1:38" ht="14.25" customHeight="1" x14ac:dyDescent="0.2">
      <c r="C273" s="82" t="s">
        <v>906</v>
      </c>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321" t="s">
        <v>697</v>
      </c>
      <c r="AE273" s="322"/>
      <c r="AF273" s="82"/>
      <c r="AG273" s="21"/>
      <c r="AH273" s="440" t="s">
        <v>980</v>
      </c>
      <c r="AI273" s="556"/>
      <c r="AJ273" s="557"/>
      <c r="AK273" s="556"/>
      <c r="AL273" s="556"/>
    </row>
    <row r="274" spans="1:38" ht="13.15" customHeight="1" x14ac:dyDescent="0.2">
      <c r="C274" s="125" t="s">
        <v>907</v>
      </c>
      <c r="D274" s="23"/>
      <c r="E274" s="125" t="s">
        <v>193</v>
      </c>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672"/>
      <c r="AE274" s="674"/>
      <c r="AF274" s="82"/>
      <c r="AH274" s="222"/>
      <c r="AI274" s="556"/>
      <c r="AJ274" s="557">
        <f>IF(COUNTA(AD274:AE280)&gt;=3,1,0)</f>
        <v>0</v>
      </c>
      <c r="AK274" s="556">
        <f>IF(AF125="X", IF(AJ274=0,1,2),0)</f>
        <v>0</v>
      </c>
      <c r="AL274" s="556"/>
    </row>
    <row r="275" spans="1:38" ht="1.9" customHeight="1" x14ac:dyDescent="0.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274"/>
      <c r="AE275" s="274"/>
      <c r="AF275" s="82"/>
      <c r="AH275" s="222"/>
      <c r="AI275" s="556"/>
      <c r="AJ275" s="557"/>
      <c r="AK275" s="556"/>
      <c r="AL275" s="556"/>
    </row>
    <row r="276" spans="1:38" ht="12.6" customHeight="1" x14ac:dyDescent="0.2">
      <c r="C276" s="111" t="s">
        <v>192</v>
      </c>
      <c r="D276" s="23"/>
      <c r="E276" s="111" t="s">
        <v>194</v>
      </c>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745"/>
      <c r="AE276" s="770"/>
      <c r="AF276" s="106"/>
      <c r="AG276" s="76"/>
      <c r="AH276" s="419"/>
      <c r="AI276" s="558"/>
      <c r="AJ276" s="558"/>
      <c r="AK276" s="556"/>
      <c r="AL276" s="556"/>
    </row>
    <row r="277" spans="1:38" ht="2.25" customHeight="1" x14ac:dyDescent="0.2">
      <c r="C277" s="23"/>
      <c r="D277" s="23"/>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441"/>
      <c r="AI277" s="558"/>
      <c r="AJ277" s="557"/>
      <c r="AK277" s="556"/>
      <c r="AL277" s="556"/>
    </row>
    <row r="278" spans="1:38" ht="13.5" customHeight="1" x14ac:dyDescent="0.2">
      <c r="A278" s="562" t="s">
        <v>278</v>
      </c>
      <c r="B278" s="337" t="s">
        <v>195</v>
      </c>
      <c r="C278" s="442"/>
      <c r="D278" s="442"/>
      <c r="E278" s="443" t="str">
        <f>IF(AD276="Yes", B278, IF(AD276="No", A278,""))</f>
        <v/>
      </c>
      <c r="F278" s="442"/>
      <c r="G278" s="442"/>
      <c r="H278" s="442"/>
      <c r="I278" s="442"/>
      <c r="J278" s="442"/>
      <c r="K278" s="442"/>
      <c r="L278" s="442"/>
      <c r="M278" s="442"/>
      <c r="N278" s="442"/>
      <c r="O278" s="442"/>
      <c r="P278" s="442"/>
      <c r="Q278" s="442"/>
      <c r="R278" s="442"/>
      <c r="S278" s="442"/>
      <c r="T278" s="442"/>
      <c r="U278" s="442"/>
      <c r="V278" s="442"/>
      <c r="W278" s="442"/>
      <c r="X278" s="442"/>
      <c r="Y278" s="442"/>
      <c r="Z278" s="1650"/>
      <c r="AA278" s="1650"/>
      <c r="AB278" s="1650"/>
      <c r="AC278" s="1650"/>
      <c r="AD278" s="1668"/>
      <c r="AE278" s="1668"/>
      <c r="AF278" s="444"/>
      <c r="AG278" s="444"/>
      <c r="AH278" s="444"/>
      <c r="AI278" s="558"/>
      <c r="AJ278" s="558">
        <f>IF(AD276="Yes",IF(AD278&gt;="N",1,0),IF(AD276="No",1,0))</f>
        <v>0</v>
      </c>
      <c r="AK278" s="556">
        <f>IF(AF125="X", IF(AJ278=0,1,2),0)</f>
        <v>0</v>
      </c>
      <c r="AL278" s="556"/>
    </row>
    <row r="279" spans="1:38" ht="2.25" customHeight="1" x14ac:dyDescent="0.2">
      <c r="A279" s="562"/>
      <c r="B279" s="337"/>
      <c r="C279" s="211"/>
      <c r="D279" s="211"/>
      <c r="E279" s="64"/>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445"/>
      <c r="AI279" s="558"/>
      <c r="AJ279" s="557"/>
      <c r="AK279" s="556"/>
      <c r="AL279" s="556"/>
    </row>
    <row r="280" spans="1:38" ht="13.5" customHeight="1" x14ac:dyDescent="0.2">
      <c r="C280" s="125" t="s">
        <v>908</v>
      </c>
      <c r="D280" s="131"/>
      <c r="E280" s="125" t="s">
        <v>886</v>
      </c>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745"/>
      <c r="AE280" s="770"/>
      <c r="AF280" s="106"/>
      <c r="AH280" s="419"/>
      <c r="AI280" s="600"/>
      <c r="AJ280" s="558">
        <f>IF(AD280&gt;="N",1,0)</f>
        <v>0</v>
      </c>
      <c r="AK280" s="556">
        <f>IF(AF125="X", IF(AJ280=0,1,2),0)</f>
        <v>0</v>
      </c>
      <c r="AL280" s="556"/>
    </row>
    <row r="281" spans="1:38" ht="2.25" customHeight="1" x14ac:dyDescent="0.2">
      <c r="C281" s="125"/>
      <c r="D281" s="131"/>
      <c r="E281" s="132"/>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H281" s="419"/>
      <c r="AI281" s="600"/>
      <c r="AJ281" s="557"/>
      <c r="AK281" s="556"/>
      <c r="AL281" s="556"/>
    </row>
    <row r="282" spans="1:38" ht="13.5" customHeight="1" x14ac:dyDescent="0.2">
      <c r="C282" s="125"/>
      <c r="D282" s="131"/>
      <c r="E282" s="207" t="s">
        <v>464</v>
      </c>
      <c r="F282" s="113"/>
      <c r="G282" s="113"/>
      <c r="H282" s="113"/>
      <c r="I282" s="113"/>
      <c r="J282" s="113"/>
      <c r="K282" s="113"/>
      <c r="L282" s="113"/>
      <c r="M282" s="113"/>
      <c r="N282" s="113"/>
      <c r="O282" s="113"/>
      <c r="P282" s="113"/>
      <c r="Q282" s="249" t="s">
        <v>275</v>
      </c>
      <c r="R282" s="1057"/>
      <c r="S282" s="1058"/>
      <c r="T282" s="1058"/>
      <c r="U282" s="1058"/>
      <c r="V282" s="1058"/>
      <c r="W282" s="1058"/>
      <c r="X282" s="1058"/>
      <c r="Y282" s="1058"/>
      <c r="Z282" s="1058"/>
      <c r="AA282" s="1058"/>
      <c r="AB282" s="1058"/>
      <c r="AC282" s="1058"/>
      <c r="AD282" s="1058"/>
      <c r="AE282" s="1058"/>
      <c r="AF282" s="1059"/>
      <c r="AG282" s="113"/>
      <c r="AH282" s="419"/>
      <c r="AI282" s="600"/>
      <c r="AJ282" s="557">
        <f>IF(AD280="Yes", IF(R282&gt;"a", IF(COUNTBLANK(R284)=0,1,0),0), IF(AD280="No",1,0))</f>
        <v>0</v>
      </c>
      <c r="AK282" s="556">
        <f>IF(AF125="X", IF(AJ282=0,1,2),0)</f>
        <v>0</v>
      </c>
      <c r="AL282" s="556"/>
    </row>
    <row r="283" spans="1:38" ht="2.25" customHeight="1" x14ac:dyDescent="0.2">
      <c r="C283" s="125"/>
      <c r="D283" s="131"/>
      <c r="E283" s="132"/>
      <c r="F283" s="113"/>
      <c r="G283" s="113"/>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419"/>
      <c r="AI283" s="600"/>
      <c r="AJ283" s="557"/>
      <c r="AK283" s="556"/>
      <c r="AL283" s="556"/>
    </row>
    <row r="284" spans="1:38" ht="13.5" customHeight="1" x14ac:dyDescent="0.2">
      <c r="C284" s="111"/>
      <c r="D284" s="23"/>
      <c r="E284" s="113"/>
      <c r="F284" s="113"/>
      <c r="G284" s="113"/>
      <c r="H284" s="113"/>
      <c r="I284" s="113"/>
      <c r="J284" s="113"/>
      <c r="K284" s="113"/>
      <c r="L284" s="113"/>
      <c r="M284" s="113"/>
      <c r="N284" s="113"/>
      <c r="O284" s="113"/>
      <c r="P284" s="113"/>
      <c r="Q284" s="249" t="s">
        <v>884</v>
      </c>
      <c r="R284" s="1647"/>
      <c r="S284" s="1648"/>
      <c r="T284" s="1648"/>
      <c r="U284" s="1648"/>
      <c r="V284" s="1648"/>
      <c r="W284" s="1648"/>
      <c r="X284" s="1649"/>
      <c r="Y284" s="113"/>
      <c r="Z284" s="1396" t="s">
        <v>627</v>
      </c>
      <c r="AA284" s="1397"/>
      <c r="AB284" s="1397"/>
      <c r="AC284" s="1397"/>
      <c r="AD284" s="1397"/>
      <c r="AE284" s="1397"/>
      <c r="AF284" s="1397"/>
      <c r="AG284" s="1398"/>
      <c r="AH284" s="419"/>
      <c r="AI284" s="558"/>
      <c r="AJ284" s="557"/>
      <c r="AK284" s="556"/>
      <c r="AL284" s="556"/>
    </row>
    <row r="285" spans="1:38" ht="2.25" customHeight="1" x14ac:dyDescent="0.2">
      <c r="C285" s="211"/>
      <c r="D285" s="211"/>
      <c r="E285" s="64"/>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558"/>
      <c r="AJ285" s="557"/>
      <c r="AK285" s="556"/>
      <c r="AL285" s="556"/>
    </row>
    <row r="286" spans="1:38" ht="13.15" customHeight="1" x14ac:dyDescent="0.2">
      <c r="C286" s="12" t="s">
        <v>909</v>
      </c>
      <c r="D286" s="24"/>
      <c r="E286" s="5"/>
      <c r="AA286" s="214"/>
      <c r="AH286" s="419"/>
      <c r="AI286" s="558"/>
      <c r="AK286" s="556"/>
      <c r="AL286" s="556"/>
    </row>
    <row r="287" spans="1:38" ht="15" customHeight="1" thickBot="1" x14ac:dyDescent="0.25">
      <c r="E287" s="250" t="s">
        <v>905</v>
      </c>
      <c r="S287" s="442"/>
      <c r="T287" s="214"/>
      <c r="U287" s="442"/>
      <c r="AA287" s="214"/>
      <c r="AH287" s="419"/>
      <c r="AI287" s="558"/>
      <c r="AJ287" s="557"/>
      <c r="AK287" s="556"/>
      <c r="AL287" s="556"/>
    </row>
    <row r="288" spans="1:38" ht="13.5" customHeight="1" thickBot="1" x14ac:dyDescent="0.25">
      <c r="C288" s="160"/>
      <c r="D288" s="160"/>
      <c r="E288" s="165"/>
      <c r="F288" s="161" t="s">
        <v>1020</v>
      </c>
      <c r="G288" s="41"/>
      <c r="H288" s="41"/>
      <c r="I288" s="41"/>
      <c r="J288" s="41"/>
      <c r="K288" s="41"/>
      <c r="L288" s="41"/>
      <c r="M288" s="41"/>
      <c r="N288" s="41"/>
      <c r="O288" s="41"/>
      <c r="P288" s="41"/>
      <c r="Q288" s="41"/>
      <c r="R288" s="41"/>
      <c r="S288" s="442"/>
      <c r="T288" s="442"/>
      <c r="U288" s="442"/>
      <c r="V288" s="165"/>
      <c r="W288" s="1192" t="s">
        <v>1021</v>
      </c>
      <c r="X288" s="1193"/>
      <c r="Y288" s="1193"/>
      <c r="Z288" s="1193"/>
      <c r="AA288" s="1193"/>
      <c r="AB288" s="1193"/>
      <c r="AC288" s="1193"/>
      <c r="AD288" s="1193"/>
      <c r="AE288" s="1193"/>
      <c r="AF288" s="1193"/>
      <c r="AG288" s="1193"/>
      <c r="AH288" s="419"/>
      <c r="AI288" s="558"/>
      <c r="AJ288" s="558">
        <f>IF(IF(E288="X",1,0)+IF(E289="X",1,0)+IF(E290="X",1,0)+IF(E291="X",1,0)+IF(E292="X",1,0)+IF(V288="X",1,0)+IF(V289="X",1,0)+IF(V290="X",1,0)+IF(V291="X",1,0)&gt;=1,1,0)</f>
        <v>0</v>
      </c>
      <c r="AK288" s="556">
        <f>IF(AF125="X", IF(AJ288=0,1,2),0)</f>
        <v>0</v>
      </c>
      <c r="AL288" s="556"/>
    </row>
    <row r="289" spans="1:39" ht="13.5" customHeight="1" thickBot="1" x14ac:dyDescent="0.25">
      <c r="C289" s="160"/>
      <c r="D289" s="160"/>
      <c r="E289" s="165"/>
      <c r="F289" s="161" t="s">
        <v>1022</v>
      </c>
      <c r="G289" s="41"/>
      <c r="H289" s="41"/>
      <c r="I289" s="41"/>
      <c r="J289" s="41"/>
      <c r="K289" s="41"/>
      <c r="L289" s="41"/>
      <c r="M289" s="41"/>
      <c r="N289" s="41"/>
      <c r="O289" s="41"/>
      <c r="P289" s="41"/>
      <c r="Q289" s="41"/>
      <c r="R289" s="41"/>
      <c r="S289" s="442"/>
      <c r="T289" s="442"/>
      <c r="U289" s="442"/>
      <c r="V289" s="165"/>
      <c r="W289" s="1192" t="s">
        <v>1023</v>
      </c>
      <c r="X289" s="1193"/>
      <c r="Y289" s="1193"/>
      <c r="Z289" s="1193"/>
      <c r="AA289" s="1193"/>
      <c r="AB289" s="1193"/>
      <c r="AC289" s="1193"/>
      <c r="AD289" s="1193"/>
      <c r="AE289" s="1193"/>
      <c r="AF289" s="1193"/>
      <c r="AG289" s="1193"/>
      <c r="AH289" s="419"/>
      <c r="AI289" s="558"/>
      <c r="AJ289" s="557"/>
      <c r="AK289" s="556"/>
      <c r="AL289" s="556"/>
    </row>
    <row r="290" spans="1:39" ht="13.5" customHeight="1" thickBot="1" x14ac:dyDescent="0.25">
      <c r="C290" s="160"/>
      <c r="D290" s="160"/>
      <c r="E290" s="165"/>
      <c r="F290" s="161" t="s">
        <v>1024</v>
      </c>
      <c r="G290" s="41"/>
      <c r="H290" s="41"/>
      <c r="I290" s="41"/>
      <c r="J290" s="41"/>
      <c r="K290" s="41"/>
      <c r="L290" s="41"/>
      <c r="M290" s="41"/>
      <c r="N290" s="41"/>
      <c r="O290" s="41"/>
      <c r="P290" s="41"/>
      <c r="Q290" s="41"/>
      <c r="R290" s="41"/>
      <c r="S290" s="442"/>
      <c r="T290" s="442"/>
      <c r="U290" s="442"/>
      <c r="V290" s="165"/>
      <c r="W290" s="1192" t="s">
        <v>1025</v>
      </c>
      <c r="X290" s="1193"/>
      <c r="Y290" s="1193"/>
      <c r="Z290" s="1193"/>
      <c r="AA290" s="1193"/>
      <c r="AB290" s="1193"/>
      <c r="AC290" s="1193"/>
      <c r="AD290" s="1193"/>
      <c r="AE290" s="1193"/>
      <c r="AF290" s="1193"/>
      <c r="AG290" s="1193"/>
      <c r="AH290" s="419"/>
      <c r="AI290" s="558"/>
      <c r="AJ290" s="557"/>
      <c r="AK290" s="556"/>
      <c r="AL290" s="556"/>
    </row>
    <row r="291" spans="1:39" ht="13.5" customHeight="1" thickBot="1" x14ac:dyDescent="0.25">
      <c r="C291" s="160"/>
      <c r="D291" s="160"/>
      <c r="E291" s="165"/>
      <c r="F291" s="161" t="s">
        <v>1026</v>
      </c>
      <c r="G291" s="41"/>
      <c r="H291" s="41"/>
      <c r="I291" s="41"/>
      <c r="J291" s="301"/>
      <c r="K291" s="301"/>
      <c r="L291" s="301"/>
      <c r="M291" s="301"/>
      <c r="N291" s="301"/>
      <c r="O291" s="301"/>
      <c r="P291" s="301"/>
      <c r="Q291" s="301"/>
      <c r="R291" s="301"/>
      <c r="S291" s="446"/>
      <c r="T291" s="446"/>
      <c r="U291" s="442"/>
      <c r="V291" s="165"/>
      <c r="W291" s="1192" t="s">
        <v>1027</v>
      </c>
      <c r="X291" s="1193"/>
      <c r="Y291" s="1193"/>
      <c r="Z291" s="1193"/>
      <c r="AA291" s="1193"/>
      <c r="AB291" s="1193"/>
      <c r="AC291" s="1193"/>
      <c r="AD291" s="1193"/>
      <c r="AE291" s="1193"/>
      <c r="AF291" s="1193"/>
      <c r="AG291" s="1193"/>
      <c r="AH291" s="419"/>
      <c r="AI291" s="558"/>
      <c r="AJ291" s="557"/>
      <c r="AK291" s="556"/>
      <c r="AL291" s="556"/>
    </row>
    <row r="292" spans="1:39" ht="13.5" customHeight="1" thickBot="1" x14ac:dyDescent="0.25">
      <c r="A292" s="560">
        <f>IF(AE234="No", 2, IF(AE234="Yes", IF(AD284="Yes",1,IF(AD284="No",2,0)),0))</f>
        <v>0</v>
      </c>
      <c r="C292" s="160"/>
      <c r="D292" s="160"/>
      <c r="E292" s="165"/>
      <c r="F292" s="1681" t="s">
        <v>1028</v>
      </c>
      <c r="G292" s="1682"/>
      <c r="H292" s="1682"/>
      <c r="I292" s="1683"/>
      <c r="J292" s="1641"/>
      <c r="K292" s="1642"/>
      <c r="L292" s="1642"/>
      <c r="M292" s="1642"/>
      <c r="N292" s="1642"/>
      <c r="O292" s="1642"/>
      <c r="P292" s="1642"/>
      <c r="Q292" s="1642"/>
      <c r="R292" s="1642"/>
      <c r="S292" s="1642"/>
      <c r="T292" s="1643"/>
      <c r="V292" s="8"/>
      <c r="W292" s="8"/>
      <c r="X292" s="8"/>
      <c r="Y292" s="8"/>
      <c r="Z292" s="8"/>
      <c r="AA292" s="8"/>
      <c r="AB292" s="8"/>
      <c r="AC292" s="8"/>
      <c r="AD292" s="8"/>
      <c r="AE292" s="8"/>
      <c r="AF292" s="8"/>
      <c r="AG292" s="8"/>
      <c r="AH292" s="419"/>
      <c r="AI292" s="558"/>
      <c r="AJ292" s="557"/>
      <c r="AK292" s="556"/>
      <c r="AL292" s="556"/>
    </row>
    <row r="293" spans="1:39" ht="7.15" customHeight="1" x14ac:dyDescent="0.2">
      <c r="V293" s="8"/>
      <c r="W293" s="8"/>
      <c r="X293" s="8"/>
      <c r="Y293" s="8"/>
      <c r="Z293" s="8"/>
      <c r="AA293" s="8"/>
      <c r="AB293" s="8"/>
      <c r="AC293" s="8"/>
      <c r="AD293" s="8"/>
      <c r="AE293" s="8"/>
      <c r="AF293" s="8"/>
      <c r="AG293" s="8"/>
      <c r="AH293" s="419"/>
      <c r="AI293" s="558"/>
      <c r="AJ293" s="557"/>
      <c r="AK293" s="556"/>
      <c r="AL293" s="556"/>
    </row>
    <row r="294" spans="1:39" ht="15.75" customHeight="1" x14ac:dyDescent="0.2">
      <c r="A294" s="562"/>
      <c r="B294" s="335"/>
      <c r="C294" s="10" t="s">
        <v>191</v>
      </c>
      <c r="D294" s="10"/>
      <c r="E294" s="10"/>
      <c r="AH294" s="222"/>
      <c r="AI294" s="556"/>
      <c r="AK294" s="556"/>
      <c r="AL294" s="556"/>
    </row>
    <row r="295" spans="1:39" ht="33" customHeight="1" x14ac:dyDescent="0.2">
      <c r="A295" s="562"/>
      <c r="B295" s="335"/>
      <c r="C295" s="1680" t="s">
        <v>733</v>
      </c>
      <c r="D295" s="1680"/>
      <c r="E295" s="1680"/>
      <c r="F295" s="1680"/>
      <c r="G295" s="1680"/>
      <c r="H295" s="1680"/>
      <c r="I295" s="1680"/>
      <c r="J295" s="1680"/>
      <c r="K295" s="1680"/>
      <c r="L295" s="1680"/>
      <c r="M295" s="1680"/>
      <c r="N295" s="1680"/>
      <c r="O295" s="1680"/>
      <c r="P295" s="1680"/>
      <c r="Q295" s="1680"/>
      <c r="R295" s="1680"/>
      <c r="S295" s="1680"/>
      <c r="T295" s="1680"/>
      <c r="U295" s="1680"/>
      <c r="V295" s="1680"/>
      <c r="W295" s="1680"/>
      <c r="X295" s="1680"/>
      <c r="Y295" s="1680"/>
      <c r="Z295" s="1680"/>
      <c r="AA295" s="1680"/>
      <c r="AB295" s="1680"/>
      <c r="AC295" s="1680"/>
      <c r="AD295" s="1680"/>
      <c r="AE295" s="1680"/>
      <c r="AF295" s="1680"/>
      <c r="AG295" s="1680"/>
      <c r="AH295" s="222"/>
      <c r="AI295" s="556"/>
      <c r="AJ295" s="557"/>
      <c r="AK295" s="556"/>
      <c r="AL295" s="556"/>
    </row>
    <row r="296" spans="1:39" ht="12.75" customHeight="1" x14ac:dyDescent="0.2">
      <c r="A296" s="562"/>
      <c r="B296" s="335"/>
      <c r="C296" s="30"/>
      <c r="D296" s="5" t="s">
        <v>697</v>
      </c>
      <c r="E296" s="30"/>
      <c r="F296" s="30"/>
      <c r="G296" s="30"/>
      <c r="H296" s="30"/>
      <c r="I296" s="30"/>
      <c r="J296" s="30"/>
      <c r="K296" s="30"/>
      <c r="L296" s="30"/>
      <c r="M296" s="30"/>
      <c r="N296" s="30"/>
      <c r="O296" s="30"/>
      <c r="P296" s="30"/>
      <c r="Q296" s="30"/>
      <c r="R296" s="30"/>
      <c r="S296" s="30"/>
      <c r="T296" s="30"/>
      <c r="U296" s="30"/>
      <c r="V296" s="30"/>
      <c r="W296" s="30"/>
      <c r="X296" s="447"/>
      <c r="Y296" s="447"/>
      <c r="Z296" s="447"/>
      <c r="AA296" s="447"/>
      <c r="AB296" s="447"/>
      <c r="AC296" s="447"/>
      <c r="AD296" s="447"/>
      <c r="AE296" s="30"/>
      <c r="AF296" s="30"/>
      <c r="AG296" s="30"/>
      <c r="AH296" s="222"/>
      <c r="AI296" s="556"/>
      <c r="AJ296" s="557"/>
      <c r="AK296" s="556"/>
      <c r="AL296" s="556"/>
      <c r="AM296" s="341"/>
    </row>
    <row r="297" spans="1:39" ht="2.25" customHeight="1" x14ac:dyDescent="0.2">
      <c r="A297" s="562"/>
      <c r="B297" s="335"/>
      <c r="X297" s="447"/>
      <c r="Y297" s="447"/>
      <c r="Z297" s="447"/>
      <c r="AA297" s="447"/>
      <c r="AB297" s="447"/>
      <c r="AC297" s="447"/>
      <c r="AD297" s="447"/>
      <c r="AH297" s="75"/>
      <c r="AI297" s="556"/>
      <c r="AJ297" s="557"/>
      <c r="AK297" s="556"/>
      <c r="AL297" s="556"/>
      <c r="AM297" s="341"/>
    </row>
    <row r="298" spans="1:39" ht="13.5" customHeight="1" x14ac:dyDescent="0.2">
      <c r="A298" s="562"/>
      <c r="B298" s="335"/>
      <c r="C298" s="422"/>
      <c r="D298" s="745"/>
      <c r="E298" s="982"/>
      <c r="F298" s="29"/>
      <c r="G298" s="82" t="s">
        <v>622</v>
      </c>
      <c r="H298" s="448"/>
      <c r="I298" s="448"/>
      <c r="J298" s="447"/>
      <c r="K298" s="447"/>
      <c r="L298" s="447"/>
      <c r="M298" s="447"/>
      <c r="N298" s="79"/>
      <c r="O298" s="447"/>
      <c r="P298" s="82"/>
      <c r="Q298" s="447"/>
      <c r="R298" s="447"/>
      <c r="S298" s="447"/>
      <c r="T298" s="447"/>
      <c r="U298" s="447"/>
      <c r="V298" s="447"/>
      <c r="W298" s="447"/>
      <c r="X298" s="447"/>
      <c r="Y298" s="447"/>
      <c r="Z298" s="447"/>
      <c r="AA298" s="447"/>
      <c r="AB298" s="447"/>
      <c r="AC298" s="447"/>
      <c r="AD298" s="447"/>
      <c r="AH298" s="75"/>
      <c r="AI298" s="556"/>
      <c r="AJ298" s="557"/>
      <c r="AK298" s="556">
        <f>IF(AF125="X", IF(D298&lt;"A",1,2),0)</f>
        <v>0</v>
      </c>
      <c r="AL298" s="556"/>
      <c r="AM298" s="341"/>
    </row>
    <row r="299" spans="1:39" ht="13.5" customHeight="1" x14ac:dyDescent="0.2">
      <c r="A299" s="562"/>
      <c r="B299" s="335"/>
      <c r="C299" s="449"/>
      <c r="D299" s="745"/>
      <c r="E299" s="982"/>
      <c r="F299" s="29"/>
      <c r="G299" s="45" t="s">
        <v>320</v>
      </c>
      <c r="H299" s="448"/>
      <c r="I299" s="448"/>
      <c r="J299" s="447"/>
      <c r="K299" s="447"/>
      <c r="L299" s="447"/>
      <c r="M299" s="447"/>
      <c r="N299" s="80"/>
      <c r="O299" s="447"/>
      <c r="P299" s="45"/>
      <c r="Q299" s="447"/>
      <c r="R299" s="447"/>
      <c r="S299" s="447"/>
      <c r="T299" s="447"/>
      <c r="U299" s="447"/>
      <c r="V299" s="447"/>
      <c r="W299" s="447"/>
      <c r="X299" s="447"/>
      <c r="Y299" s="447"/>
      <c r="Z299" s="447"/>
      <c r="AA299" s="447"/>
      <c r="AB299" s="447"/>
      <c r="AC299" s="447"/>
      <c r="AD299" s="447"/>
      <c r="AE299" s="56"/>
      <c r="AF299" s="56"/>
      <c r="AG299" s="56"/>
      <c r="AH299" s="222"/>
      <c r="AI299" s="556"/>
      <c r="AJ299" s="557">
        <f>IF(IF(D299&gt;="N",1,0)+IF(D300&gt;="N",1,0)+IF(D301&gt;="N",1,0)+IF(D303&gt;="N",1,0)+IF(D304&gt;="N",1,0)+IF(D305&gt;="N",1,0)+IF(D306&gt;="N",1,0)+IF(D307&gt;="N",1,0)+IF(D298&gt;="N",1,0)+IF(D313&gt;="N",1,0)=10, 1,0)</f>
        <v>0</v>
      </c>
      <c r="AK299" s="556">
        <f>IF(AF125="X", IF(D299&lt;"A",1,2),0)</f>
        <v>0</v>
      </c>
      <c r="AL299" s="556"/>
      <c r="AM299" s="341"/>
    </row>
    <row r="300" spans="1:39" ht="13.5" customHeight="1" x14ac:dyDescent="0.2">
      <c r="A300" s="562"/>
      <c r="B300" s="335"/>
      <c r="C300" s="449"/>
      <c r="D300" s="745"/>
      <c r="E300" s="982"/>
      <c r="F300" s="29"/>
      <c r="G300" s="45" t="s">
        <v>321</v>
      </c>
      <c r="H300" s="448"/>
      <c r="I300" s="448"/>
      <c r="J300" s="447"/>
      <c r="K300" s="447"/>
      <c r="L300" s="447"/>
      <c r="M300" s="447"/>
      <c r="N300" s="80"/>
      <c r="O300" s="447"/>
      <c r="P300" s="45"/>
      <c r="Q300" s="447"/>
      <c r="R300" s="447"/>
      <c r="S300" s="447"/>
      <c r="T300" s="447"/>
      <c r="U300" s="447"/>
      <c r="V300" s="447"/>
      <c r="W300" s="447"/>
      <c r="X300" s="447"/>
      <c r="Y300" s="447"/>
      <c r="Z300" s="447"/>
      <c r="AA300" s="447"/>
      <c r="AB300" s="447"/>
      <c r="AC300" s="447"/>
      <c r="AD300" s="447"/>
      <c r="AE300" s="56"/>
      <c r="AF300" s="56"/>
      <c r="AG300" s="56"/>
      <c r="AH300" s="222"/>
      <c r="AI300" s="556"/>
      <c r="AJ300" s="557"/>
      <c r="AK300" s="556">
        <f>IF(AF125="X", IF(D300&lt;"A",1,2),0)</f>
        <v>0</v>
      </c>
      <c r="AL300" s="556"/>
      <c r="AM300" s="341"/>
    </row>
    <row r="301" spans="1:39" ht="13.5" customHeight="1" x14ac:dyDescent="0.2">
      <c r="C301" s="449"/>
      <c r="D301" s="745"/>
      <c r="E301" s="982"/>
      <c r="F301" s="29"/>
      <c r="G301" s="45" t="s">
        <v>623</v>
      </c>
      <c r="H301" s="448"/>
      <c r="I301" s="448"/>
      <c r="J301" s="447"/>
      <c r="K301" s="447"/>
      <c r="L301" s="447"/>
      <c r="M301" s="447"/>
      <c r="N301" s="80"/>
      <c r="O301" s="447"/>
      <c r="P301" s="45"/>
      <c r="Q301" s="447"/>
      <c r="R301" s="447"/>
      <c r="S301" s="447"/>
      <c r="T301" s="447"/>
      <c r="U301" s="447"/>
      <c r="V301" s="447"/>
      <c r="W301" s="447"/>
      <c r="X301" s="447"/>
      <c r="Y301" s="447"/>
      <c r="Z301" s="447"/>
      <c r="AA301" s="447"/>
      <c r="AB301" s="447"/>
      <c r="AC301" s="447"/>
      <c r="AD301" s="447"/>
      <c r="AE301" s="56"/>
      <c r="AF301" s="56"/>
      <c r="AG301" s="56"/>
      <c r="AH301" s="222"/>
      <c r="AI301" s="556"/>
      <c r="AJ301" s="557"/>
      <c r="AK301" s="556">
        <f>IF(AF125="X", IF(D301&lt;"A",1,2),0)</f>
        <v>0</v>
      </c>
      <c r="AL301" s="556"/>
      <c r="AM301" s="341"/>
    </row>
    <row r="302" spans="1:39" ht="13.5" customHeight="1" x14ac:dyDescent="0.2">
      <c r="C302" s="449"/>
      <c r="D302" s="745"/>
      <c r="E302" s="982"/>
      <c r="F302" s="29"/>
      <c r="G302" s="45" t="s">
        <v>610</v>
      </c>
      <c r="H302" s="448"/>
      <c r="I302" s="448"/>
      <c r="J302" s="447"/>
      <c r="K302" s="447"/>
      <c r="L302" s="447"/>
      <c r="M302" s="447"/>
      <c r="N302" s="80"/>
      <c r="O302" s="447"/>
      <c r="P302" s="45"/>
      <c r="Q302" s="447"/>
      <c r="R302" s="447"/>
      <c r="S302" s="447"/>
      <c r="T302" s="447"/>
      <c r="U302" s="447"/>
      <c r="V302" s="447"/>
      <c r="W302" s="447"/>
      <c r="X302" s="447"/>
      <c r="Y302" s="447"/>
      <c r="Z302" s="447"/>
      <c r="AA302" s="447"/>
      <c r="AB302" s="447"/>
      <c r="AC302" s="447"/>
      <c r="AD302" s="447"/>
      <c r="AE302" s="56"/>
      <c r="AF302" s="56"/>
      <c r="AG302" s="56"/>
      <c r="AH302" s="222"/>
      <c r="AI302" s="556"/>
      <c r="AJ302" s="557"/>
      <c r="AK302" s="556">
        <f>IF(AF125="X",2,0)</f>
        <v>0</v>
      </c>
      <c r="AL302" s="556"/>
      <c r="AM302" s="341"/>
    </row>
    <row r="303" spans="1:39" ht="13.5" customHeight="1" x14ac:dyDescent="0.2">
      <c r="C303" s="449"/>
      <c r="D303" s="745"/>
      <c r="E303" s="982"/>
      <c r="F303" s="29"/>
      <c r="G303" s="45" t="s">
        <v>438</v>
      </c>
      <c r="H303" s="448"/>
      <c r="I303" s="448"/>
      <c r="J303" s="447"/>
      <c r="K303" s="447"/>
      <c r="L303" s="447"/>
      <c r="M303" s="447"/>
      <c r="N303" s="80"/>
      <c r="O303" s="447"/>
      <c r="P303" s="45"/>
      <c r="Q303" s="447"/>
      <c r="R303" s="447"/>
      <c r="S303" s="447"/>
      <c r="T303" s="447"/>
      <c r="U303" s="447"/>
      <c r="V303" s="447"/>
      <c r="W303" s="447"/>
      <c r="X303" s="447"/>
      <c r="Y303" s="447"/>
      <c r="Z303" s="447"/>
      <c r="AA303" s="447"/>
      <c r="AB303" s="447"/>
      <c r="AC303" s="447"/>
      <c r="AD303" s="447"/>
      <c r="AE303" s="56"/>
      <c r="AF303" s="56"/>
      <c r="AG303" s="56"/>
      <c r="AH303" s="222"/>
      <c r="AI303" s="556"/>
      <c r="AJ303" s="557"/>
      <c r="AK303" s="556">
        <f>IF(AF125="X", IF(D303&lt;"A",1,2),0)</f>
        <v>0</v>
      </c>
      <c r="AL303" s="556"/>
      <c r="AM303" s="341"/>
    </row>
    <row r="304" spans="1:39" ht="13.5" customHeight="1" x14ac:dyDescent="0.2">
      <c r="C304" s="449"/>
      <c r="D304" s="745"/>
      <c r="E304" s="982"/>
      <c r="F304" s="29"/>
      <c r="G304" s="45" t="s">
        <v>439</v>
      </c>
      <c r="H304" s="448"/>
      <c r="I304" s="448"/>
      <c r="J304" s="447"/>
      <c r="K304" s="447"/>
      <c r="L304" s="447"/>
      <c r="M304" s="447"/>
      <c r="N304" s="80"/>
      <c r="O304" s="447"/>
      <c r="P304" s="45"/>
      <c r="Q304" s="447"/>
      <c r="R304" s="447"/>
      <c r="S304" s="447"/>
      <c r="T304" s="447"/>
      <c r="U304" s="447"/>
      <c r="V304" s="447"/>
      <c r="W304" s="447"/>
      <c r="X304" s="447"/>
      <c r="Y304" s="447"/>
      <c r="Z304" s="447"/>
      <c r="AA304" s="447"/>
      <c r="AB304" s="447"/>
      <c r="AC304" s="447"/>
      <c r="AD304" s="447"/>
      <c r="AE304" s="56"/>
      <c r="AF304" s="56"/>
      <c r="AG304" s="56"/>
      <c r="AH304" s="222"/>
      <c r="AI304" s="556"/>
      <c r="AJ304" s="557"/>
      <c r="AK304" s="556">
        <f>IF(AF125="X", IF(D304&lt;"A",1,2),0)</f>
        <v>0</v>
      </c>
      <c r="AL304" s="556"/>
      <c r="AM304" s="341"/>
    </row>
    <row r="305" spans="1:68" ht="13.5" customHeight="1" x14ac:dyDescent="0.2">
      <c r="C305" s="449"/>
      <c r="D305" s="745"/>
      <c r="E305" s="982"/>
      <c r="F305" s="29"/>
      <c r="G305" s="45" t="s">
        <v>732</v>
      </c>
      <c r="H305" s="448"/>
      <c r="I305" s="448"/>
      <c r="J305" s="447"/>
      <c r="K305" s="447"/>
      <c r="L305" s="447"/>
      <c r="M305" s="447"/>
      <c r="N305" s="46"/>
      <c r="O305" s="447"/>
      <c r="P305" s="45"/>
      <c r="Q305" s="447"/>
      <c r="R305" s="447"/>
      <c r="S305" s="447"/>
      <c r="T305" s="447"/>
      <c r="U305" s="447"/>
      <c r="V305" s="447"/>
      <c r="W305" s="447"/>
      <c r="X305" s="447"/>
      <c r="Y305" s="447"/>
      <c r="Z305" s="447"/>
      <c r="AA305" s="447"/>
      <c r="AB305" s="447"/>
      <c r="AC305" s="447"/>
      <c r="AD305" s="447"/>
      <c r="AE305" s="56"/>
      <c r="AF305" s="56"/>
      <c r="AG305" s="56"/>
      <c r="AH305" s="222"/>
      <c r="AI305" s="556"/>
      <c r="AJ305" s="557"/>
      <c r="AK305" s="556">
        <f>IF(AF125="X", IF(D305&lt;"A",1,2),0)</f>
        <v>0</v>
      </c>
      <c r="AL305" s="556"/>
      <c r="AM305" s="341"/>
    </row>
    <row r="306" spans="1:68" ht="13.5" customHeight="1" x14ac:dyDescent="0.2">
      <c r="C306" s="449"/>
      <c r="D306" s="745"/>
      <c r="E306" s="982"/>
      <c r="F306" s="29"/>
      <c r="G306" s="82" t="s">
        <v>567</v>
      </c>
      <c r="H306" s="448"/>
      <c r="I306" s="448"/>
      <c r="J306" s="447"/>
      <c r="K306" s="447"/>
      <c r="L306" s="447"/>
      <c r="M306" s="447"/>
      <c r="N306" s="81"/>
      <c r="O306" s="447"/>
      <c r="P306" s="82"/>
      <c r="Q306" s="447"/>
      <c r="R306" s="447"/>
      <c r="S306" s="447"/>
      <c r="T306" s="447"/>
      <c r="U306" s="447"/>
      <c r="V306" s="447"/>
      <c r="W306" s="447"/>
      <c r="X306" s="447"/>
      <c r="Y306" s="447"/>
      <c r="Z306" s="447"/>
      <c r="AA306" s="447"/>
      <c r="AB306" s="447"/>
      <c r="AC306" s="447"/>
      <c r="AD306" s="447"/>
      <c r="AE306" s="56"/>
      <c r="AF306" s="56"/>
      <c r="AG306" s="56"/>
      <c r="AH306" s="222"/>
      <c r="AI306" s="556"/>
      <c r="AJ306" s="557"/>
      <c r="AK306" s="556">
        <f>IF(AF125="X", IF(D306&lt;"A",1,2),0)</f>
        <v>0</v>
      </c>
      <c r="AL306" s="593"/>
      <c r="AM306" s="375"/>
      <c r="AN306" s="384"/>
    </row>
    <row r="307" spans="1:68" ht="13.5" customHeight="1" x14ac:dyDescent="0.2">
      <c r="C307" s="449"/>
      <c r="D307" s="745"/>
      <c r="E307" s="982"/>
      <c r="F307" s="29"/>
      <c r="G307" s="82" t="s">
        <v>609</v>
      </c>
      <c r="H307" s="448"/>
      <c r="I307" s="448"/>
      <c r="J307" s="447"/>
      <c r="K307" s="447"/>
      <c r="L307" s="447"/>
      <c r="M307" s="447"/>
      <c r="N307" s="81"/>
      <c r="O307" s="447"/>
      <c r="P307" s="82"/>
      <c r="Q307" s="447"/>
      <c r="R307" s="447"/>
      <c r="S307" s="447"/>
      <c r="T307" s="447"/>
      <c r="U307" s="447"/>
      <c r="V307" s="447"/>
      <c r="W307" s="447"/>
      <c r="X307" s="447"/>
      <c r="Y307" s="447"/>
      <c r="Z307" s="447"/>
      <c r="AA307" s="447"/>
      <c r="AB307" s="447"/>
      <c r="AC307" s="447"/>
      <c r="AD307" s="447"/>
      <c r="AE307" s="56"/>
      <c r="AF307" s="56"/>
      <c r="AG307" s="56"/>
      <c r="AH307" s="222"/>
      <c r="AI307" s="556"/>
      <c r="AJ307" s="557"/>
      <c r="AK307" s="556">
        <f>IF(AF125="X", IF(D307&lt;"A",1,2),0)</f>
        <v>0</v>
      </c>
      <c r="AL307" s="593"/>
      <c r="AM307" s="376"/>
      <c r="AN307" s="384"/>
    </row>
    <row r="308" spans="1:68" ht="13.5" customHeight="1" x14ac:dyDescent="0.2">
      <c r="C308" s="450"/>
      <c r="D308" s="1639"/>
      <c r="E308" s="1640"/>
      <c r="F308" s="451"/>
      <c r="G308" s="45" t="s">
        <v>67</v>
      </c>
      <c r="H308" s="448"/>
      <c r="I308" s="448"/>
      <c r="J308" s="447"/>
      <c r="K308" s="447"/>
      <c r="L308" s="447"/>
      <c r="M308" s="447"/>
      <c r="N308" s="46"/>
      <c r="O308" s="447"/>
      <c r="P308" s="45"/>
      <c r="Q308" s="447"/>
      <c r="R308" s="447"/>
      <c r="S308" s="447"/>
      <c r="T308" s="447"/>
      <c r="U308" s="447"/>
      <c r="V308" s="447"/>
      <c r="W308" s="447"/>
      <c r="X308" s="447"/>
      <c r="Y308" s="447"/>
      <c r="Z308" s="447"/>
      <c r="AA308" s="447"/>
      <c r="AB308" s="447"/>
      <c r="AC308" s="447"/>
      <c r="AD308" s="447"/>
      <c r="AE308" s="198" t="s">
        <v>697</v>
      </c>
      <c r="AF308" s="198"/>
      <c r="AG308" s="56"/>
      <c r="AH308" s="222"/>
      <c r="AI308" s="556"/>
      <c r="AJ308" s="557"/>
      <c r="AK308" s="556"/>
      <c r="AL308" s="593"/>
      <c r="AM308" s="375"/>
      <c r="AN308" s="384"/>
    </row>
    <row r="309" spans="1:68" ht="2.25" customHeight="1" thickBot="1" x14ac:dyDescent="0.25">
      <c r="D309" s="21"/>
      <c r="E309" s="21"/>
      <c r="G309" s="1660"/>
      <c r="H309" s="1660"/>
      <c r="I309" s="1660"/>
      <c r="J309" s="1660"/>
      <c r="K309" s="1660"/>
      <c r="L309" s="1660"/>
      <c r="M309" s="1660"/>
      <c r="N309" s="1660"/>
      <c r="O309" s="1660"/>
      <c r="P309" s="1660"/>
      <c r="Q309" s="1660"/>
      <c r="R309" s="1660"/>
      <c r="S309" s="1660"/>
      <c r="T309" s="1660"/>
      <c r="U309"/>
      <c r="V309" s="56"/>
      <c r="W309" s="447"/>
      <c r="X309" s="447"/>
      <c r="Y309" s="447"/>
      <c r="AB309" s="447"/>
      <c r="AC309" s="447"/>
      <c r="AD309" s="452"/>
      <c r="AE309" s="83"/>
      <c r="AF309" s="83"/>
      <c r="AG309" s="56"/>
      <c r="AH309" s="222"/>
      <c r="AI309" s="556"/>
      <c r="AJ309" s="557"/>
      <c r="AK309" s="556"/>
      <c r="AL309" s="593"/>
      <c r="AM309" s="375"/>
      <c r="AN309" s="384"/>
    </row>
    <row r="310" spans="1:68" ht="15" customHeight="1" x14ac:dyDescent="0.2">
      <c r="C310" s="1661" t="s">
        <v>571</v>
      </c>
      <c r="D310" s="1662"/>
      <c r="E310" s="1662"/>
      <c r="F310" s="1663"/>
      <c r="G310" s="1663"/>
      <c r="H310" s="1663"/>
      <c r="I310" s="1664"/>
      <c r="J310" s="275" t="s">
        <v>196</v>
      </c>
      <c r="K310" s="453"/>
      <c r="L310" s="453"/>
      <c r="M310" s="453"/>
      <c r="N310" s="453"/>
      <c r="O310" s="453"/>
      <c r="P310" s="453"/>
      <c r="Q310" s="453"/>
      <c r="R310" s="453"/>
      <c r="S310" s="453"/>
      <c r="T310" s="453"/>
      <c r="U310" s="453"/>
      <c r="V310" s="453"/>
      <c r="W310" s="453"/>
      <c r="X310" s="453"/>
      <c r="Y310" s="453"/>
      <c r="Z310" s="453"/>
      <c r="AA310" s="453"/>
      <c r="AB310" s="453"/>
      <c r="AC310" s="453"/>
      <c r="AD310" s="453"/>
      <c r="AE310" s="883"/>
      <c r="AF310" s="883"/>
      <c r="AH310" s="75"/>
      <c r="AI310" s="556"/>
      <c r="AJ310" s="557"/>
      <c r="AK310" s="556"/>
      <c r="AL310" s="556"/>
      <c r="AM310" s="341"/>
    </row>
    <row r="311" spans="1:68" ht="14.25" customHeight="1" thickBot="1" x14ac:dyDescent="0.25">
      <c r="C311" s="1665"/>
      <c r="D311" s="1666"/>
      <c r="E311" s="1666"/>
      <c r="F311" s="1666"/>
      <c r="G311" s="1666"/>
      <c r="H311" s="1666"/>
      <c r="I311" s="1667"/>
      <c r="J311" s="275" t="s">
        <v>197</v>
      </c>
      <c r="K311" s="453"/>
      <c r="L311" s="453"/>
      <c r="M311" s="453"/>
      <c r="N311" s="453"/>
      <c r="O311" s="453"/>
      <c r="P311" s="453"/>
      <c r="Q311" s="453"/>
      <c r="R311" s="453"/>
      <c r="S311" s="453"/>
      <c r="T311" s="453"/>
      <c r="U311" s="453"/>
      <c r="V311" s="453"/>
      <c r="W311" s="453"/>
      <c r="X311" s="453"/>
      <c r="Y311" s="453"/>
      <c r="Z311" s="453"/>
      <c r="AA311" s="453"/>
      <c r="AB311" s="453"/>
      <c r="AC311" s="453"/>
      <c r="AD311" s="453"/>
      <c r="AE311" s="883"/>
      <c r="AF311" s="883"/>
      <c r="AG311" s="56"/>
      <c r="AH311" s="454"/>
      <c r="AI311" s="556">
        <f>IF(AE310="Yes", 1,(IF(AE311="Yes",1,0)))</f>
        <v>0</v>
      </c>
      <c r="AJ311" s="557"/>
      <c r="AK311" s="556"/>
      <c r="AL311" s="556"/>
      <c r="AM311" s="341"/>
    </row>
    <row r="312" spans="1:68" ht="2.25" customHeight="1" x14ac:dyDescent="0.2">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222"/>
      <c r="AI312" s="557"/>
      <c r="AJ312" s="557"/>
      <c r="AK312" s="556"/>
      <c r="AL312" s="556"/>
      <c r="AM312" s="341"/>
      <c r="AN312" s="341"/>
      <c r="AO312" s="341"/>
    </row>
    <row r="313" spans="1:68" ht="15.75" customHeight="1" x14ac:dyDescent="0.2">
      <c r="A313" s="560">
        <f>IF(D313="Yes", 1,0)</f>
        <v>0</v>
      </c>
      <c r="C313" s="53"/>
      <c r="D313" s="745"/>
      <c r="E313" s="982"/>
      <c r="F313" s="29"/>
      <c r="G313" s="1672" t="s">
        <v>997</v>
      </c>
      <c r="H313" s="1672"/>
      <c r="I313" s="1672"/>
      <c r="J313" s="1672"/>
      <c r="K313" s="1672"/>
      <c r="L313" s="1672"/>
      <c r="M313" s="1672"/>
      <c r="N313" s="1672"/>
      <c r="O313" s="1672"/>
      <c r="P313" s="1672"/>
      <c r="Q313" s="1672"/>
      <c r="R313" s="1672"/>
      <c r="S313" s="1672"/>
      <c r="T313" s="1672"/>
      <c r="U313" s="1672"/>
      <c r="V313" s="1672"/>
      <c r="W313" s="1672"/>
      <c r="X313" s="1672"/>
      <c r="Y313" s="1672"/>
      <c r="Z313" s="1672"/>
      <c r="AA313" s="1672"/>
      <c r="AB313" s="1672"/>
      <c r="AC313" s="53"/>
      <c r="AD313" s="53"/>
      <c r="AE313" s="53"/>
      <c r="AF313" s="53"/>
      <c r="AG313" s="53"/>
      <c r="AH313" s="222"/>
      <c r="AI313" s="556"/>
      <c r="AJ313" s="557"/>
      <c r="AK313" s="556">
        <f>IF(AF125="X", IF(D313&lt;"A",1,2),0)</f>
        <v>0</v>
      </c>
      <c r="AL313" s="556"/>
      <c r="AM313" s="341"/>
      <c r="AN313" s="341"/>
      <c r="AO313" s="341"/>
    </row>
    <row r="314" spans="1:68" ht="13.5" customHeight="1" x14ac:dyDescent="0.2">
      <c r="F314" s="212" t="s">
        <v>1088</v>
      </c>
      <c r="G314" s="90"/>
      <c r="H314" s="77"/>
      <c r="I314" s="77"/>
      <c r="J314" s="77"/>
      <c r="K314" s="455"/>
      <c r="L314" s="455"/>
      <c r="M314" s="455"/>
      <c r="N314" s="455"/>
      <c r="O314" s="455"/>
      <c r="P314" s="455"/>
      <c r="Q314" s="455"/>
      <c r="R314" s="455"/>
      <c r="S314" s="455"/>
      <c r="T314" s="455"/>
      <c r="U314" s="455"/>
      <c r="V314" s="455"/>
      <c r="W314" s="455"/>
      <c r="X314" s="455"/>
      <c r="Y314" s="455"/>
      <c r="Z314" s="455"/>
      <c r="AA314" s="115" t="s">
        <v>68</v>
      </c>
      <c r="AB314" s="1047"/>
      <c r="AC314" s="1048"/>
      <c r="AD314" s="1049"/>
      <c r="AE314" s="1050"/>
      <c r="AF314" s="147" t="s">
        <v>568</v>
      </c>
      <c r="AG314" s="143"/>
      <c r="AH314" s="222"/>
      <c r="AI314" s="556">
        <f>IF(D313="No",1,IF(D313="Yes", IF(AB317&gt;0,1,0),0))</f>
        <v>0</v>
      </c>
      <c r="AJ314" s="557"/>
      <c r="AK314" s="556">
        <f>IF(AF125="X", IF(D313="Yes", IF(COUNTA(AB314:AE316)&lt;3,2,1), 0),0)</f>
        <v>0</v>
      </c>
      <c r="AL314" s="556">
        <f>IF(LEFT(AB314,9)="less than",0,IF(LEFT(AB314,1)="&lt;",0,AB314))</f>
        <v>0</v>
      </c>
      <c r="AM314" s="341">
        <f>IF(LEFT(AB314,9)="less than",VALUE(RIGHT(AB314,(LEN(AB314)-10))),IF(LEFT(AB314,1)="&lt;",VALUE(RIGHT(AB314,(LEN(AB314)-1))),0))</f>
        <v>0</v>
      </c>
      <c r="AN314" s="341">
        <f>COUNTA(AB314:AE316)</f>
        <v>0</v>
      </c>
      <c r="AO314" s="341"/>
    </row>
    <row r="315" spans="1:68" ht="13.5" customHeight="1" x14ac:dyDescent="0.2">
      <c r="E315" s="90"/>
      <c r="F315" s="213"/>
      <c r="G315" s="90"/>
      <c r="H315" s="455"/>
      <c r="I315" s="455"/>
      <c r="J315" s="455"/>
      <c r="K315" s="455"/>
      <c r="L315" s="455"/>
      <c r="M315" s="455"/>
      <c r="N315" s="213"/>
      <c r="O315" s="455"/>
      <c r="P315" s="455"/>
      <c r="Q315" s="455"/>
      <c r="R315" s="455"/>
      <c r="S315" s="455"/>
      <c r="T315" s="455"/>
      <c r="U315" s="455"/>
      <c r="V315" s="455"/>
      <c r="W315" s="455"/>
      <c r="X315" s="455"/>
      <c r="Y315" s="455"/>
      <c r="Z315" s="455"/>
      <c r="AA315" s="115" t="s">
        <v>233</v>
      </c>
      <c r="AB315" s="1047"/>
      <c r="AC315" s="1048"/>
      <c r="AD315" s="1049"/>
      <c r="AE315" s="1050"/>
      <c r="AF315" s="147" t="s">
        <v>568</v>
      </c>
      <c r="AG315" s="143"/>
      <c r="AH315" s="222"/>
      <c r="AI315" s="557"/>
      <c r="AJ315" s="557"/>
      <c r="AK315" s="556">
        <f>IF(AF125="X", IF(D313="Yes", IF(COUNTBLANK(AB315)=0,0,1), 0),0)</f>
        <v>0</v>
      </c>
      <c r="AL315" s="556">
        <f>IF(LEFT(AB315,9)="less than",0,IF(LEFT(AB315,1)="&lt;",0,AB315))</f>
        <v>0</v>
      </c>
      <c r="AM315" s="341">
        <f>IF(LEFT(AB315,9)="less than",VALUE(RIGHT(AB315,(LEN(AB315)-10))),IF(LEFT(AB315,1)="&lt;",VALUE(RIGHT(AB315,(LEN(AB315)-1))),0))</f>
        <v>0</v>
      </c>
      <c r="AN315" s="341"/>
      <c r="AO315" s="341"/>
    </row>
    <row r="316" spans="1:68" ht="13.5" customHeight="1" x14ac:dyDescent="0.2">
      <c r="A316" s="563"/>
      <c r="B316" s="334"/>
      <c r="C316" s="8"/>
      <c r="D316" s="8"/>
      <c r="E316" s="219"/>
      <c r="F316" s="220"/>
      <c r="G316" s="219"/>
      <c r="H316" s="219"/>
      <c r="I316" s="219"/>
      <c r="J316" s="219"/>
      <c r="K316" s="219"/>
      <c r="L316" s="219"/>
      <c r="M316" s="219"/>
      <c r="N316" s="219"/>
      <c r="O316" s="219"/>
      <c r="P316" s="219"/>
      <c r="Q316" s="219"/>
      <c r="R316" s="219"/>
      <c r="S316" s="219"/>
      <c r="T316" s="219"/>
      <c r="U316" s="219"/>
      <c r="V316" s="219"/>
      <c r="W316" s="219"/>
      <c r="X316" s="219"/>
      <c r="Y316" s="219"/>
      <c r="Z316" s="219"/>
      <c r="AA316" s="456" t="s">
        <v>1087</v>
      </c>
      <c r="AB316" s="1047"/>
      <c r="AC316" s="1048"/>
      <c r="AD316" s="1049"/>
      <c r="AE316" s="1050"/>
      <c r="AF316" s="457" t="s">
        <v>568</v>
      </c>
      <c r="AG316" s="8"/>
      <c r="AH316" s="222"/>
      <c r="AI316" s="599"/>
      <c r="AK316" s="599">
        <f>IF(AF125="X", IF(D313="Yes", IF(COUNTBLANK(AB316)=0,0,1), 0),0)</f>
        <v>0</v>
      </c>
      <c r="AL316" s="556">
        <f>IF(LEFT(AB316,9)="less than",0,IF(LEFT(AB316,1)="&lt;",0,AB316))</f>
        <v>0</v>
      </c>
      <c r="AM316" s="341">
        <f>IF(LEFT(AB316,9)="less than",VALUE(RIGHT(AB316,(LEN(AB316)-10))),IF(LEFT(AB316,1)="&lt;",VALUE(RIGHT(AB316,(LEN(AB316)-1))),0))</f>
        <v>0</v>
      </c>
      <c r="AN316" s="341"/>
      <c r="AO316" s="341"/>
    </row>
    <row r="317" spans="1:68" ht="13.5" customHeight="1" x14ac:dyDescent="0.2">
      <c r="A317" s="563"/>
      <c r="B317" s="334"/>
      <c r="C317" s="8"/>
      <c r="D317" s="8"/>
      <c r="E317" s="219"/>
      <c r="F317" s="220"/>
      <c r="G317" s="219"/>
      <c r="H317" s="219"/>
      <c r="I317" s="219"/>
      <c r="J317" s="219"/>
      <c r="K317" s="219"/>
      <c r="L317" s="219"/>
      <c r="M317" s="219"/>
      <c r="N317" s="219"/>
      <c r="O317" s="219"/>
      <c r="P317" s="219"/>
      <c r="Q317" s="219"/>
      <c r="R317" s="219"/>
      <c r="S317" s="219"/>
      <c r="T317" s="219"/>
      <c r="U317" s="219"/>
      <c r="V317" s="219"/>
      <c r="W317" s="219"/>
      <c r="X317" s="219"/>
      <c r="Y317" s="219"/>
      <c r="Z317" s="219"/>
      <c r="AA317" s="456" t="s">
        <v>1089</v>
      </c>
      <c r="AB317" s="1673" t="str">
        <f>AN317</f>
        <v/>
      </c>
      <c r="AC317" s="1674"/>
      <c r="AD317" s="1675"/>
      <c r="AE317" s="1676"/>
      <c r="AF317" s="457" t="s">
        <v>568</v>
      </c>
      <c r="AG317" s="8"/>
      <c r="AH317" s="222"/>
      <c r="AI317" s="599"/>
      <c r="AJ317" s="599"/>
      <c r="AK317" s="599"/>
      <c r="AL317" s="556" t="str">
        <f>IF(COUNTA(AB314:AE316)=3,SUM(AL314:AL316),"")</f>
        <v/>
      </c>
      <c r="AM317" s="341" t="str">
        <f>IF(COUNTA(AB314:AE316)=3,MAX(AM314:AM316),"")</f>
        <v/>
      </c>
      <c r="AN317" s="341" t="str">
        <f xml:space="preserve"> IF(AL317&gt;0,AL317,IF(AM317&gt;0,("less than "&amp;AM317),""))</f>
        <v/>
      </c>
      <c r="AO317" s="341"/>
    </row>
    <row r="318" spans="1:68" ht="14.25" customHeight="1" x14ac:dyDescent="0.2">
      <c r="G318" s="77"/>
      <c r="K318" s="56"/>
      <c r="L318" s="56"/>
      <c r="M318" s="56"/>
      <c r="N318" s="56"/>
      <c r="O318" s="56"/>
      <c r="P318" s="56"/>
      <c r="Q318" s="56"/>
      <c r="R318" s="56"/>
      <c r="S318" s="56"/>
      <c r="T318" s="115" t="s">
        <v>979</v>
      </c>
      <c r="U318" s="1060"/>
      <c r="V318" s="1061"/>
      <c r="W318" s="1061"/>
      <c r="X318" s="1061"/>
      <c r="Y318" s="1061"/>
      <c r="Z318" s="1061"/>
      <c r="AA318" s="1061"/>
      <c r="AB318" s="1061"/>
      <c r="AC318" s="1061"/>
      <c r="AD318" s="1061"/>
      <c r="AE318" s="1061"/>
      <c r="AF318" s="1061"/>
      <c r="AG318" s="1062"/>
      <c r="AH318" s="222"/>
      <c r="AI318" s="556"/>
      <c r="AK318" s="556"/>
      <c r="AL318" s="556"/>
      <c r="AM318" s="341"/>
      <c r="AN318" s="341"/>
      <c r="AO318" s="341"/>
    </row>
    <row r="319" spans="1:68" s="21" customFormat="1" ht="3.75" customHeight="1" x14ac:dyDescent="0.2">
      <c r="A319" s="560"/>
      <c r="B319" s="332"/>
      <c r="D319" s="458"/>
      <c r="E319" s="458"/>
      <c r="F319" s="458"/>
      <c r="G319" s="458"/>
      <c r="H319" s="458"/>
      <c r="I319" s="458"/>
      <c r="J319" s="458"/>
      <c r="K319" s="458"/>
      <c r="L319" s="458"/>
      <c r="M319" s="458"/>
      <c r="N319" s="458"/>
      <c r="O319" s="458"/>
      <c r="P319" s="458"/>
      <c r="Q319" s="458"/>
      <c r="R319" s="458"/>
      <c r="S319" s="458"/>
      <c r="T319" s="458"/>
      <c r="U319" s="458"/>
      <c r="V319" s="458"/>
      <c r="W319" s="458"/>
      <c r="X319" s="458"/>
      <c r="Y319" s="458"/>
      <c r="Z319" s="458"/>
      <c r="AA319" s="458"/>
      <c r="AB319" s="458"/>
      <c r="AC319" s="458"/>
      <c r="AD319" s="458"/>
      <c r="AE319" s="458"/>
      <c r="AF319" s="458"/>
      <c r="AG319" s="458"/>
      <c r="AH319" s="458"/>
      <c r="AI319" s="593"/>
      <c r="AJ319" s="593"/>
      <c r="AK319" s="593"/>
      <c r="AL319" s="593"/>
      <c r="AM319" s="384"/>
      <c r="AN319" s="384"/>
      <c r="AO319" s="384"/>
      <c r="AP319" s="384"/>
      <c r="AQ319" s="384"/>
      <c r="AR319" s="384"/>
      <c r="AS319" s="384"/>
      <c r="AT319" s="384"/>
      <c r="AU319" s="384"/>
      <c r="AV319" s="384"/>
      <c r="AW319" s="384"/>
      <c r="AX319" s="384"/>
      <c r="AY319" s="384"/>
      <c r="AZ319" s="384"/>
      <c r="BA319" s="384"/>
      <c r="BB319" s="384"/>
      <c r="BC319" s="384"/>
      <c r="BD319" s="384"/>
      <c r="BE319" s="384"/>
      <c r="BF319" s="384"/>
      <c r="BG319" s="384"/>
      <c r="BH319" s="384"/>
      <c r="BI319" s="384"/>
      <c r="BJ319" s="384"/>
      <c r="BK319" s="384"/>
      <c r="BL319" s="384"/>
      <c r="BM319" s="384"/>
      <c r="BN319" s="384"/>
      <c r="BO319" s="384"/>
      <c r="BP319" s="384"/>
    </row>
    <row r="320" spans="1:68" ht="18" customHeight="1" x14ac:dyDescent="0.2">
      <c r="C320" s="1638" t="s">
        <v>911</v>
      </c>
      <c r="D320" s="1638"/>
      <c r="E320" s="1638"/>
      <c r="F320" s="1638"/>
      <c r="G320" s="1638"/>
      <c r="H320" s="1638"/>
      <c r="I320" s="1638"/>
      <c r="J320" s="1638"/>
      <c r="K320" s="1638"/>
      <c r="L320" s="1638"/>
      <c r="M320" s="1638"/>
      <c r="N320" s="1638"/>
      <c r="O320" s="1638"/>
      <c r="P320" s="1638"/>
      <c r="Q320" s="1638"/>
      <c r="R320" s="1638"/>
      <c r="S320" s="1638"/>
      <c r="T320" s="1638"/>
      <c r="U320" s="1638"/>
      <c r="V320" s="1638"/>
      <c r="W320" s="1638"/>
      <c r="X320" s="1638"/>
      <c r="Y320" s="1638"/>
      <c r="Z320" s="1638"/>
      <c r="AA320" s="1638"/>
      <c r="AB320" s="1638"/>
      <c r="AC320" s="1638"/>
      <c r="AD320" s="1638"/>
      <c r="AE320" s="1638"/>
      <c r="AF320" s="1638"/>
      <c r="AG320" s="1638"/>
      <c r="AH320" s="253" t="s">
        <v>1029</v>
      </c>
      <c r="AI320" s="556"/>
      <c r="AJ320" s="599"/>
      <c r="AK320" s="556"/>
      <c r="AL320" s="556"/>
    </row>
    <row r="321" spans="1:52" ht="16.5" customHeight="1" x14ac:dyDescent="0.2">
      <c r="C321" s="1632" t="s">
        <v>345</v>
      </c>
      <c r="D321" s="1633"/>
      <c r="E321" s="1633"/>
      <c r="F321" s="1633"/>
      <c r="G321" s="1633"/>
      <c r="H321" s="1633"/>
      <c r="I321" s="1633"/>
      <c r="J321" s="1634"/>
      <c r="K321" s="1423" t="s">
        <v>74</v>
      </c>
      <c r="L321" s="1424"/>
      <c r="M321" s="1424"/>
      <c r="N321" s="1424"/>
      <c r="O321" s="1424"/>
      <c r="P321" s="1425"/>
      <c r="Q321" s="1439" t="s">
        <v>261</v>
      </c>
      <c r="R321" s="1440"/>
      <c r="S321" s="1440"/>
      <c r="T321" s="1440"/>
      <c r="U321" s="1440"/>
      <c r="V321" s="1441"/>
      <c r="W321" s="1225" t="s">
        <v>19</v>
      </c>
      <c r="X321" s="1226"/>
      <c r="Y321" s="1226"/>
      <c r="Z321" s="1226"/>
      <c r="AA321" s="1226"/>
      <c r="AB321" s="1226"/>
      <c r="AC321" s="1226"/>
      <c r="AD321" s="1227"/>
      <c r="AE321" s="918" t="s">
        <v>20</v>
      </c>
      <c r="AF321" s="919"/>
      <c r="AG321" s="920"/>
      <c r="AH321" s="222"/>
      <c r="AI321" s="556"/>
      <c r="AK321" s="556"/>
      <c r="AL321" s="556"/>
    </row>
    <row r="322" spans="1:52" ht="30.75" customHeight="1" x14ac:dyDescent="0.2">
      <c r="B322" s="332"/>
      <c r="C322" s="1635"/>
      <c r="D322" s="1636"/>
      <c r="E322" s="1636"/>
      <c r="F322" s="1636"/>
      <c r="G322" s="1636"/>
      <c r="H322" s="1636"/>
      <c r="I322" s="1636"/>
      <c r="J322" s="1637"/>
      <c r="K322" s="1429"/>
      <c r="L322" s="1430"/>
      <c r="M322" s="1430"/>
      <c r="N322" s="1430"/>
      <c r="O322" s="1430"/>
      <c r="P322" s="1431"/>
      <c r="Q322" s="1445"/>
      <c r="R322" s="1446"/>
      <c r="S322" s="1446"/>
      <c r="T322" s="1446"/>
      <c r="U322" s="1446"/>
      <c r="V322" s="1447"/>
      <c r="W322" s="1222" t="s">
        <v>163</v>
      </c>
      <c r="X322" s="1223"/>
      <c r="Y322" s="1223"/>
      <c r="Z322" s="1224"/>
      <c r="AA322" s="1677" t="s">
        <v>1108</v>
      </c>
      <c r="AB322" s="1678"/>
      <c r="AC322" s="1678"/>
      <c r="AD322" s="1679"/>
      <c r="AE322" s="1054"/>
      <c r="AF322" s="1055"/>
      <c r="AG322" s="1056"/>
      <c r="AH322" s="222"/>
      <c r="AI322" s="556"/>
      <c r="AJ322" s="557">
        <f>IF(SUM(AI323,AI328,AI332,AI336,AI344,AI349,AI353,AI356,AI360,AI314)&lt;10,0,1)</f>
        <v>0</v>
      </c>
      <c r="AK322" s="556"/>
      <c r="AL322" s="556"/>
      <c r="AZ322" s="384"/>
    </row>
    <row r="323" spans="1:52" ht="15" customHeight="1" x14ac:dyDescent="0.2">
      <c r="A323" s="560">
        <f>IF(D298="Yes",IF(AK323&lt;&gt;1,1,0),0)</f>
        <v>0</v>
      </c>
      <c r="B323" s="333">
        <f>IF(D298="Yes",IF(B324=4,2,1),0)</f>
        <v>0</v>
      </c>
      <c r="C323" s="1651" t="s">
        <v>259</v>
      </c>
      <c r="D323" s="1652"/>
      <c r="E323" s="1652"/>
      <c r="F323" s="1652"/>
      <c r="G323" s="1652"/>
      <c r="H323" s="1652"/>
      <c r="I323" s="1652"/>
      <c r="J323" s="1653"/>
      <c r="K323" s="1405"/>
      <c r="L323" s="1406"/>
      <c r="M323" s="1406"/>
      <c r="N323" s="1406"/>
      <c r="O323" s="1406"/>
      <c r="P323" s="1407"/>
      <c r="Q323" s="1405"/>
      <c r="R323" s="1406"/>
      <c r="S323" s="1406"/>
      <c r="T323" s="1406"/>
      <c r="U323" s="1406"/>
      <c r="V323" s="1407"/>
      <c r="W323" s="992"/>
      <c r="X323" s="993"/>
      <c r="Y323" s="993"/>
      <c r="Z323" s="994"/>
      <c r="AA323" s="992"/>
      <c r="AB323" s="993"/>
      <c r="AC323" s="993"/>
      <c r="AD323" s="994"/>
      <c r="AE323" s="1041"/>
      <c r="AF323" s="1042"/>
      <c r="AG323" s="1043"/>
      <c r="AH323" s="255"/>
      <c r="AI323" s="556">
        <f>IF(D298="No",1,IF(D298="Yes", IF(K323&gt;="a",  IF(COUNTBLANK(W323)=0,1,0),0),0))</f>
        <v>0</v>
      </c>
      <c r="AK323" s="556">
        <f>IF(AF125="X", IF(AI323=0,IF(D298="Yes",1,3),2),0)</f>
        <v>0</v>
      </c>
      <c r="AL323" s="556"/>
    </row>
    <row r="324" spans="1:52" ht="14.25" customHeight="1" x14ac:dyDescent="0.2">
      <c r="B324" s="333">
        <f>IF(COUNTIF(AE323:AG327, "No")&gt;0, 4, IF(COUNTIF(AE323:AG327, "Yes")&gt;0,6,9))</f>
        <v>9</v>
      </c>
      <c r="C324" s="1654"/>
      <c r="D324" s="1655"/>
      <c r="E324" s="1655"/>
      <c r="F324" s="1655"/>
      <c r="G324" s="1655"/>
      <c r="H324" s="1655"/>
      <c r="I324" s="1655"/>
      <c r="J324" s="1656"/>
      <c r="K324" s="1405"/>
      <c r="L324" s="1406"/>
      <c r="M324" s="1406"/>
      <c r="N324" s="1406"/>
      <c r="O324" s="1406"/>
      <c r="P324" s="1407"/>
      <c r="Q324" s="1405"/>
      <c r="R324" s="1406"/>
      <c r="S324" s="1406"/>
      <c r="T324" s="1406"/>
      <c r="U324" s="1406"/>
      <c r="V324" s="1407"/>
      <c r="W324" s="992"/>
      <c r="X324" s="993"/>
      <c r="Y324" s="993"/>
      <c r="Z324" s="994"/>
      <c r="AA324" s="992"/>
      <c r="AB324" s="993"/>
      <c r="AC324" s="993"/>
      <c r="AD324" s="994"/>
      <c r="AE324" s="1669"/>
      <c r="AF324" s="1670"/>
      <c r="AG324" s="1671"/>
      <c r="AH324" s="255"/>
      <c r="AI324" s="558"/>
      <c r="AJ324" s="557"/>
      <c r="AK324" s="556"/>
      <c r="AL324" s="556"/>
    </row>
    <row r="325" spans="1:52" ht="14.25" customHeight="1" x14ac:dyDescent="0.2">
      <c r="C325" s="1051" t="s">
        <v>260</v>
      </c>
      <c r="D325" s="1052"/>
      <c r="E325" s="1052"/>
      <c r="F325" s="1052"/>
      <c r="G325" s="1052"/>
      <c r="H325" s="1052"/>
      <c r="I325" s="1052"/>
      <c r="J325" s="1053"/>
      <c r="K325" s="1405"/>
      <c r="L325" s="1406"/>
      <c r="M325" s="1406"/>
      <c r="N325" s="1406"/>
      <c r="O325" s="1406"/>
      <c r="P325" s="1407"/>
      <c r="Q325" s="1405"/>
      <c r="R325" s="1406"/>
      <c r="S325" s="1406"/>
      <c r="T325" s="1406"/>
      <c r="U325" s="1406"/>
      <c r="V325" s="1407"/>
      <c r="W325" s="992"/>
      <c r="X325" s="993"/>
      <c r="Y325" s="993"/>
      <c r="Z325" s="994"/>
      <c r="AA325" s="992"/>
      <c r="AB325" s="993"/>
      <c r="AC325" s="993"/>
      <c r="AD325" s="994"/>
      <c r="AE325" s="1669"/>
      <c r="AF325" s="1670"/>
      <c r="AG325" s="1671"/>
      <c r="AH325" s="255"/>
      <c r="AI325" s="556"/>
      <c r="AK325" s="556"/>
      <c r="AL325" s="556"/>
    </row>
    <row r="326" spans="1:52" ht="14.25" customHeight="1" x14ac:dyDescent="0.2">
      <c r="C326" s="1051"/>
      <c r="D326" s="1052"/>
      <c r="E326" s="1052"/>
      <c r="F326" s="1052"/>
      <c r="G326" s="1052"/>
      <c r="H326" s="1052"/>
      <c r="I326" s="1052"/>
      <c r="J326" s="1053"/>
      <c r="K326" s="1405"/>
      <c r="L326" s="1406"/>
      <c r="M326" s="1406"/>
      <c r="N326" s="1406"/>
      <c r="O326" s="1406"/>
      <c r="P326" s="1407"/>
      <c r="Q326" s="1405"/>
      <c r="R326" s="1406"/>
      <c r="S326" s="1406"/>
      <c r="T326" s="1406"/>
      <c r="U326" s="1406"/>
      <c r="V326" s="1407"/>
      <c r="W326" s="992"/>
      <c r="X326" s="993"/>
      <c r="Y326" s="993"/>
      <c r="Z326" s="994"/>
      <c r="AA326" s="992"/>
      <c r="AB326" s="993"/>
      <c r="AC326" s="993"/>
      <c r="AD326" s="994"/>
      <c r="AE326" s="1669"/>
      <c r="AF326" s="1670"/>
      <c r="AG326" s="1671"/>
      <c r="AH326" s="255"/>
      <c r="AI326" s="556"/>
      <c r="AK326" s="556"/>
      <c r="AL326" s="556"/>
    </row>
    <row r="327" spans="1:52" ht="14.25" customHeight="1" x14ac:dyDescent="0.2">
      <c r="C327" s="1657" t="s">
        <v>258</v>
      </c>
      <c r="D327" s="1658"/>
      <c r="E327" s="1658"/>
      <c r="F327" s="1658"/>
      <c r="G327" s="1658"/>
      <c r="H327" s="1658"/>
      <c r="I327" s="1658"/>
      <c r="J327" s="1659"/>
      <c r="K327" s="1405"/>
      <c r="L327" s="1406"/>
      <c r="M327" s="1406"/>
      <c r="N327" s="1406"/>
      <c r="O327" s="1406"/>
      <c r="P327" s="1407"/>
      <c r="Q327" s="1405"/>
      <c r="R327" s="1406"/>
      <c r="S327" s="1406"/>
      <c r="T327" s="1406"/>
      <c r="U327" s="1406"/>
      <c r="V327" s="1407"/>
      <c r="W327" s="992"/>
      <c r="X327" s="993"/>
      <c r="Y327" s="993"/>
      <c r="Z327" s="994"/>
      <c r="AA327" s="992"/>
      <c r="AB327" s="993"/>
      <c r="AC327" s="993"/>
      <c r="AD327" s="994"/>
      <c r="AE327" s="1669"/>
      <c r="AF327" s="1670"/>
      <c r="AG327" s="1671"/>
      <c r="AH327" s="255"/>
      <c r="AI327" s="556"/>
      <c r="AJ327" s="557"/>
      <c r="AK327" s="556"/>
      <c r="AL327" s="556"/>
    </row>
    <row r="328" spans="1:52" ht="15.75" customHeight="1" x14ac:dyDescent="0.2">
      <c r="A328" s="554">
        <f>IF(D299="Yes",IF(AK328&lt;&gt;1,1,0),0)</f>
        <v>0</v>
      </c>
      <c r="B328" s="344">
        <f>IF(D299="Yes",IF(B329=4,2,1),0)</f>
        <v>0</v>
      </c>
      <c r="C328" s="1620" t="s">
        <v>993</v>
      </c>
      <c r="D328" s="1621"/>
      <c r="E328" s="1621"/>
      <c r="F328" s="1621"/>
      <c r="G328" s="1621"/>
      <c r="H328" s="1621"/>
      <c r="I328" s="1621"/>
      <c r="J328" s="1622"/>
      <c r="K328" s="1405"/>
      <c r="L328" s="1406"/>
      <c r="M328" s="1406"/>
      <c r="N328" s="1406"/>
      <c r="O328" s="1406"/>
      <c r="P328" s="1407"/>
      <c r="Q328" s="1405"/>
      <c r="R328" s="1406"/>
      <c r="S328" s="1406"/>
      <c r="T328" s="1406"/>
      <c r="U328" s="1406"/>
      <c r="V328" s="1407"/>
      <c r="W328" s="992"/>
      <c r="X328" s="993"/>
      <c r="Y328" s="993"/>
      <c r="Z328" s="994"/>
      <c r="AA328" s="992"/>
      <c r="AB328" s="993"/>
      <c r="AC328" s="993"/>
      <c r="AD328" s="994"/>
      <c r="AE328" s="1041"/>
      <c r="AF328" s="1042"/>
      <c r="AG328" s="1043"/>
      <c r="AH328" s="255"/>
      <c r="AI328" s="556">
        <f>IF(D299="No",1,IF(D299="Yes", IF(K328&gt;="a",  IF(COUNTBLANK(W328)=0,1,0),0),0))</f>
        <v>0</v>
      </c>
      <c r="AJ328" s="557"/>
      <c r="AK328" s="556">
        <f>IF(AF125="X", IF(AI328=0,IF(D299="Yes",1,3),2),0)</f>
        <v>0</v>
      </c>
      <c r="AL328" s="556"/>
    </row>
    <row r="329" spans="1:52" ht="15.75" customHeight="1" x14ac:dyDescent="0.2">
      <c r="B329" s="333">
        <f>IF(COUNTIF(AE328:AG332, "No")&gt;0, 4, IF(COUNTIF(AE328:AG332, "Yes")&gt;0,6,9))</f>
        <v>9</v>
      </c>
      <c r="C329" s="1623"/>
      <c r="D329" s="1624"/>
      <c r="E329" s="1624"/>
      <c r="F329" s="1624"/>
      <c r="G329" s="1624"/>
      <c r="H329" s="1624"/>
      <c r="I329" s="1624"/>
      <c r="J329" s="1625"/>
      <c r="K329" s="1405"/>
      <c r="L329" s="1406"/>
      <c r="M329" s="1406"/>
      <c r="N329" s="1406"/>
      <c r="O329" s="1406"/>
      <c r="P329" s="1407"/>
      <c r="Q329" s="1405"/>
      <c r="R329" s="1406"/>
      <c r="S329" s="1406"/>
      <c r="T329" s="1406"/>
      <c r="U329" s="1406"/>
      <c r="V329" s="1407"/>
      <c r="W329" s="992"/>
      <c r="X329" s="993"/>
      <c r="Y329" s="993"/>
      <c r="Z329" s="994"/>
      <c r="AA329" s="992"/>
      <c r="AB329" s="993"/>
      <c r="AC329" s="993"/>
      <c r="AD329" s="994"/>
      <c r="AE329" s="1041"/>
      <c r="AF329" s="1042"/>
      <c r="AG329" s="1043"/>
      <c r="AH329" s="255"/>
      <c r="AI329" s="557"/>
      <c r="AJ329" s="557"/>
      <c r="AK329" s="556"/>
      <c r="AL329" s="556"/>
    </row>
    <row r="330" spans="1:52" ht="15.75" customHeight="1" x14ac:dyDescent="0.2">
      <c r="C330" s="1626" t="s">
        <v>994</v>
      </c>
      <c r="D330" s="1627"/>
      <c r="E330" s="1627"/>
      <c r="F330" s="1627"/>
      <c r="G330" s="1627"/>
      <c r="H330" s="1627"/>
      <c r="I330" s="1627"/>
      <c r="J330" s="1628"/>
      <c r="K330" s="1405"/>
      <c r="L330" s="1406"/>
      <c r="M330" s="1406"/>
      <c r="N330" s="1406"/>
      <c r="O330" s="1406"/>
      <c r="P330" s="1407"/>
      <c r="Q330" s="1405"/>
      <c r="R330" s="1406"/>
      <c r="S330" s="1406"/>
      <c r="T330" s="1406"/>
      <c r="U330" s="1406"/>
      <c r="V330" s="1407"/>
      <c r="W330" s="992"/>
      <c r="X330" s="993"/>
      <c r="Y330" s="993"/>
      <c r="Z330" s="994"/>
      <c r="AA330" s="992"/>
      <c r="AB330" s="993"/>
      <c r="AC330" s="993"/>
      <c r="AD330" s="994"/>
      <c r="AE330" s="1041"/>
      <c r="AF330" s="1042"/>
      <c r="AG330" s="1043"/>
      <c r="AH330" s="255"/>
      <c r="AI330" s="557"/>
      <c r="AJ330" s="557"/>
      <c r="AK330" s="556"/>
      <c r="AL330" s="556"/>
    </row>
    <row r="331" spans="1:52" ht="15.75" customHeight="1" x14ac:dyDescent="0.2">
      <c r="C331" s="1629"/>
      <c r="D331" s="1630"/>
      <c r="E331" s="1630"/>
      <c r="F331" s="1630"/>
      <c r="G331" s="1630"/>
      <c r="H331" s="1630"/>
      <c r="I331" s="1630"/>
      <c r="J331" s="1631"/>
      <c r="K331" s="1405"/>
      <c r="L331" s="1406"/>
      <c r="M331" s="1406"/>
      <c r="N331" s="1406"/>
      <c r="O331" s="1406"/>
      <c r="P331" s="1407"/>
      <c r="Q331" s="1405"/>
      <c r="R331" s="1406"/>
      <c r="S331" s="1406"/>
      <c r="T331" s="1406"/>
      <c r="U331" s="1406"/>
      <c r="V331" s="1407"/>
      <c r="W331" s="992"/>
      <c r="X331" s="993"/>
      <c r="Y331" s="993"/>
      <c r="Z331" s="994"/>
      <c r="AA331" s="992"/>
      <c r="AB331" s="993"/>
      <c r="AC331" s="993"/>
      <c r="AD331" s="994"/>
      <c r="AE331" s="1041"/>
      <c r="AF331" s="1042"/>
      <c r="AG331" s="1043"/>
      <c r="AH331" s="255"/>
      <c r="AI331" s="557"/>
      <c r="AJ331" s="557"/>
      <c r="AK331" s="556"/>
      <c r="AL331" s="556"/>
    </row>
    <row r="332" spans="1:52" ht="15.75" customHeight="1" x14ac:dyDescent="0.2">
      <c r="A332" s="554">
        <f>IF(D300="Yes",IF(AK332&lt;&gt;1,1,0),0)</f>
        <v>0</v>
      </c>
      <c r="B332" s="344">
        <f>IF(D300="Yes",IF(B333=4,2,1),0)</f>
        <v>0</v>
      </c>
      <c r="C332" s="1620" t="s">
        <v>991</v>
      </c>
      <c r="D332" s="1621"/>
      <c r="E332" s="1621"/>
      <c r="F332" s="1621"/>
      <c r="G332" s="1621"/>
      <c r="H332" s="1621"/>
      <c r="I332" s="1621"/>
      <c r="J332" s="1622"/>
      <c r="K332" s="1405"/>
      <c r="L332" s="1406"/>
      <c r="M332" s="1406"/>
      <c r="N332" s="1406"/>
      <c r="O332" s="1406"/>
      <c r="P332" s="1407"/>
      <c r="Q332" s="1405"/>
      <c r="R332" s="1406"/>
      <c r="S332" s="1406"/>
      <c r="T332" s="1406"/>
      <c r="U332" s="1406"/>
      <c r="V332" s="1407"/>
      <c r="W332" s="992"/>
      <c r="X332" s="993"/>
      <c r="Y332" s="993"/>
      <c r="Z332" s="994"/>
      <c r="AA332" s="992"/>
      <c r="AB332" s="993"/>
      <c r="AC332" s="993"/>
      <c r="AD332" s="994"/>
      <c r="AE332" s="1041"/>
      <c r="AF332" s="1042"/>
      <c r="AG332" s="1043"/>
      <c r="AH332" s="255"/>
      <c r="AI332" s="557">
        <f>IF(D300="No",1,IF(D300="Yes", IF(K332&gt;="a",  IF(COUNTBLANK(W332)=0,1,0),0),0))</f>
        <v>0</v>
      </c>
      <c r="AJ332" s="557"/>
      <c r="AK332" s="556">
        <f>IF(AF125="X", IF(AI332=0,IF(D300="Yes",1,3),2),0)</f>
        <v>0</v>
      </c>
      <c r="AL332" s="556"/>
    </row>
    <row r="333" spans="1:52" ht="15.75" customHeight="1" x14ac:dyDescent="0.2">
      <c r="B333" s="333">
        <f>IF(COUNTIF(AE332:AG336, "No")&gt;0, 4, IF(COUNTIF(AE332:AG336, "Yes")&gt;0,6,9))</f>
        <v>9</v>
      </c>
      <c r="C333" s="1623"/>
      <c r="D333" s="1624"/>
      <c r="E333" s="1624"/>
      <c r="F333" s="1624"/>
      <c r="G333" s="1624"/>
      <c r="H333" s="1624"/>
      <c r="I333" s="1624"/>
      <c r="J333" s="1625"/>
      <c r="K333" s="1405"/>
      <c r="L333" s="1406"/>
      <c r="M333" s="1406"/>
      <c r="N333" s="1406"/>
      <c r="O333" s="1406"/>
      <c r="P333" s="1407"/>
      <c r="Q333" s="1405"/>
      <c r="R333" s="1406"/>
      <c r="S333" s="1406"/>
      <c r="T333" s="1406"/>
      <c r="U333" s="1406"/>
      <c r="V333" s="1407"/>
      <c r="W333" s="992"/>
      <c r="X333" s="993"/>
      <c r="Y333" s="993"/>
      <c r="Z333" s="994"/>
      <c r="AA333" s="992"/>
      <c r="AB333" s="993"/>
      <c r="AC333" s="993"/>
      <c r="AD333" s="994"/>
      <c r="AE333" s="1041"/>
      <c r="AF333" s="1042"/>
      <c r="AG333" s="1043"/>
      <c r="AH333" s="255"/>
      <c r="AI333" s="557"/>
      <c r="AJ333" s="557"/>
      <c r="AK333" s="556"/>
      <c r="AL333" s="556"/>
    </row>
    <row r="334" spans="1:52" ht="15.75" customHeight="1" x14ac:dyDescent="0.2">
      <c r="C334" s="1626" t="s">
        <v>992</v>
      </c>
      <c r="D334" s="1687"/>
      <c r="E334" s="1687"/>
      <c r="F334" s="1687"/>
      <c r="G334" s="1687"/>
      <c r="H334" s="1687"/>
      <c r="I334" s="1687"/>
      <c r="J334" s="1688"/>
      <c r="K334" s="1405"/>
      <c r="L334" s="1406"/>
      <c r="M334" s="1406"/>
      <c r="N334" s="1406"/>
      <c r="O334" s="1406"/>
      <c r="P334" s="1407"/>
      <c r="Q334" s="1405"/>
      <c r="R334" s="1406"/>
      <c r="S334" s="1406"/>
      <c r="T334" s="1406"/>
      <c r="U334" s="1406"/>
      <c r="V334" s="1407"/>
      <c r="W334" s="992"/>
      <c r="X334" s="993"/>
      <c r="Y334" s="993"/>
      <c r="Z334" s="994"/>
      <c r="AA334" s="992"/>
      <c r="AB334" s="993"/>
      <c r="AC334" s="993"/>
      <c r="AD334" s="994"/>
      <c r="AE334" s="1041"/>
      <c r="AF334" s="1042"/>
      <c r="AG334" s="1043"/>
      <c r="AH334" s="255"/>
      <c r="AI334" s="557"/>
      <c r="AJ334" s="557"/>
      <c r="AK334" s="556"/>
      <c r="AL334" s="556"/>
    </row>
    <row r="335" spans="1:52" ht="15.75" customHeight="1" x14ac:dyDescent="0.2">
      <c r="C335" s="1689"/>
      <c r="D335" s="1690"/>
      <c r="E335" s="1690"/>
      <c r="F335" s="1690"/>
      <c r="G335" s="1690"/>
      <c r="H335" s="1690"/>
      <c r="I335" s="1690"/>
      <c r="J335" s="1691"/>
      <c r="K335" s="1405"/>
      <c r="L335" s="1406"/>
      <c r="M335" s="1406"/>
      <c r="N335" s="1406"/>
      <c r="O335" s="1406"/>
      <c r="P335" s="1407"/>
      <c r="Q335" s="1405"/>
      <c r="R335" s="1406"/>
      <c r="S335" s="1406"/>
      <c r="T335" s="1406"/>
      <c r="U335" s="1406"/>
      <c r="V335" s="1407"/>
      <c r="W335" s="992"/>
      <c r="X335" s="993"/>
      <c r="Y335" s="993"/>
      <c r="Z335" s="994"/>
      <c r="AA335" s="992"/>
      <c r="AB335" s="993"/>
      <c r="AC335" s="993"/>
      <c r="AD335" s="994"/>
      <c r="AE335" s="1041"/>
      <c r="AF335" s="1042"/>
      <c r="AG335" s="1043"/>
      <c r="AH335" s="255"/>
      <c r="AI335" s="557"/>
      <c r="AJ335" s="557"/>
      <c r="AK335" s="556"/>
      <c r="AL335" s="556"/>
    </row>
    <row r="336" spans="1:52" ht="14.25" customHeight="1" x14ac:dyDescent="0.2">
      <c r="A336" s="554">
        <f>IF(D301="Yes",IF(AK336&lt;&gt;1,1,0),0)</f>
        <v>0</v>
      </c>
      <c r="B336" s="344">
        <f>IF(D301="Yes",IF(B337=4,2,1),0)</f>
        <v>0</v>
      </c>
      <c r="C336" s="1156" t="s">
        <v>990</v>
      </c>
      <c r="D336" s="1157"/>
      <c r="E336" s="1157"/>
      <c r="F336" s="1157"/>
      <c r="G336" s="1157"/>
      <c r="H336" s="1157"/>
      <c r="I336" s="1157"/>
      <c r="J336" s="1415"/>
      <c r="K336" s="1405"/>
      <c r="L336" s="1406"/>
      <c r="M336" s="1406"/>
      <c r="N336" s="1406"/>
      <c r="O336" s="1406"/>
      <c r="P336" s="1407"/>
      <c r="Q336" s="1405"/>
      <c r="R336" s="1406"/>
      <c r="S336" s="1406"/>
      <c r="T336" s="1406"/>
      <c r="U336" s="1406"/>
      <c r="V336" s="1407"/>
      <c r="W336" s="992"/>
      <c r="X336" s="993"/>
      <c r="Y336" s="993"/>
      <c r="Z336" s="994"/>
      <c r="AA336" s="992"/>
      <c r="AB336" s="993"/>
      <c r="AC336" s="993"/>
      <c r="AD336" s="994"/>
      <c r="AE336" s="1041"/>
      <c r="AF336" s="1042"/>
      <c r="AG336" s="1043"/>
      <c r="AH336" s="255"/>
      <c r="AI336" s="557">
        <f>IF(D301="No",1,IF(D301="Yes", IF(K336&gt;="a",  IF(COUNTBLANK(W336)=0,1,0),0),0))</f>
        <v>0</v>
      </c>
      <c r="AJ336" s="557"/>
      <c r="AK336" s="556">
        <f>IF(AF125="X", IF(AI336=0,IF(D301="Yes",1,3),2),0)</f>
        <v>0</v>
      </c>
      <c r="AL336" s="556"/>
    </row>
    <row r="337" spans="1:38" ht="14.25" customHeight="1" x14ac:dyDescent="0.2">
      <c r="B337" s="333">
        <f>IF(COUNTIF(AE336:AG340, "No")&gt;0, 4, IF(COUNTIF(AE336:AG340, "Yes")&gt;0,6,9))</f>
        <v>9</v>
      </c>
      <c r="C337" s="1203" t="s">
        <v>181</v>
      </c>
      <c r="D337" s="1410"/>
      <c r="E337" s="1410"/>
      <c r="F337" s="1410"/>
      <c r="G337" s="1410"/>
      <c r="H337" s="1410"/>
      <c r="I337" s="1410"/>
      <c r="J337" s="1411"/>
      <c r="K337" s="1405"/>
      <c r="L337" s="1406"/>
      <c r="M337" s="1406"/>
      <c r="N337" s="1406"/>
      <c r="O337" s="1406"/>
      <c r="P337" s="1407"/>
      <c r="Q337" s="1405"/>
      <c r="R337" s="1406"/>
      <c r="S337" s="1406"/>
      <c r="T337" s="1406"/>
      <c r="U337" s="1406"/>
      <c r="V337" s="1407"/>
      <c r="W337" s="992"/>
      <c r="X337" s="993"/>
      <c r="Y337" s="993"/>
      <c r="Z337" s="994"/>
      <c r="AA337" s="992"/>
      <c r="AB337" s="993"/>
      <c r="AC337" s="993"/>
      <c r="AD337" s="994"/>
      <c r="AE337" s="1041"/>
      <c r="AF337" s="1042"/>
      <c r="AG337" s="1043"/>
      <c r="AH337" s="255"/>
      <c r="AI337" s="557"/>
      <c r="AJ337" s="557"/>
      <c r="AK337" s="556"/>
      <c r="AL337" s="556"/>
    </row>
    <row r="338" spans="1:38" ht="14.25" customHeight="1" x14ac:dyDescent="0.2">
      <c r="C338" s="1203"/>
      <c r="D338" s="1410"/>
      <c r="E338" s="1410"/>
      <c r="F338" s="1410"/>
      <c r="G338" s="1410"/>
      <c r="H338" s="1410"/>
      <c r="I338" s="1410"/>
      <c r="J338" s="1411"/>
      <c r="K338" s="1405"/>
      <c r="L338" s="1406"/>
      <c r="M338" s="1406"/>
      <c r="N338" s="1406"/>
      <c r="O338" s="1406"/>
      <c r="P338" s="1407"/>
      <c r="Q338" s="1405"/>
      <c r="R338" s="1406"/>
      <c r="S338" s="1406"/>
      <c r="T338" s="1406"/>
      <c r="U338" s="1406"/>
      <c r="V338" s="1407"/>
      <c r="W338" s="992"/>
      <c r="X338" s="993"/>
      <c r="Y338" s="993"/>
      <c r="Z338" s="994"/>
      <c r="AA338" s="992"/>
      <c r="AB338" s="993"/>
      <c r="AC338" s="993"/>
      <c r="AD338" s="994"/>
      <c r="AE338" s="1041"/>
      <c r="AF338" s="1042"/>
      <c r="AG338" s="1043"/>
      <c r="AH338" s="255"/>
      <c r="AI338" s="557"/>
      <c r="AJ338" s="557"/>
      <c r="AK338" s="556"/>
      <c r="AL338" s="556"/>
    </row>
    <row r="339" spans="1:38" ht="14.25" customHeight="1" x14ac:dyDescent="0.2">
      <c r="C339" s="1412"/>
      <c r="D339" s="1413"/>
      <c r="E339" s="1413"/>
      <c r="F339" s="1413"/>
      <c r="G339" s="1413"/>
      <c r="H339" s="1413"/>
      <c r="I339" s="1413"/>
      <c r="J339" s="1414"/>
      <c r="K339" s="1405"/>
      <c r="L339" s="1406"/>
      <c r="M339" s="1406"/>
      <c r="N339" s="1406"/>
      <c r="O339" s="1406"/>
      <c r="P339" s="1407"/>
      <c r="Q339" s="1405"/>
      <c r="R339" s="1406"/>
      <c r="S339" s="1406"/>
      <c r="T339" s="1406"/>
      <c r="U339" s="1406"/>
      <c r="V339" s="1407"/>
      <c r="W339" s="992"/>
      <c r="X339" s="993"/>
      <c r="Y339" s="993"/>
      <c r="Z339" s="994"/>
      <c r="AA339" s="992"/>
      <c r="AB339" s="993"/>
      <c r="AC339" s="993"/>
      <c r="AD339" s="994"/>
      <c r="AE339" s="1041"/>
      <c r="AF339" s="1042"/>
      <c r="AG339" s="1043"/>
      <c r="AH339" s="255"/>
      <c r="AI339" s="557"/>
      <c r="AJ339" s="557"/>
      <c r="AK339" s="556"/>
      <c r="AL339" s="556"/>
    </row>
    <row r="340" spans="1:38" ht="14.25" customHeight="1" x14ac:dyDescent="0.2">
      <c r="B340" s="344">
        <f>IF(D302="Yes",IF(B341=4,2,1),0)</f>
        <v>0</v>
      </c>
      <c r="C340" s="1156" t="s">
        <v>988</v>
      </c>
      <c r="D340" s="1157"/>
      <c r="E340" s="1157"/>
      <c r="F340" s="1157"/>
      <c r="G340" s="1157"/>
      <c r="H340" s="1157"/>
      <c r="I340" s="1157"/>
      <c r="J340" s="1415"/>
      <c r="K340" s="1217"/>
      <c r="L340" s="1211"/>
      <c r="M340" s="1211"/>
      <c r="N340" s="1211"/>
      <c r="O340" s="1211"/>
      <c r="P340" s="1212"/>
      <c r="Q340" s="1405"/>
      <c r="R340" s="1406"/>
      <c r="S340" s="1406"/>
      <c r="T340" s="1406"/>
      <c r="U340" s="1406"/>
      <c r="V340" s="1407"/>
      <c r="W340" s="992"/>
      <c r="X340" s="993"/>
      <c r="Y340" s="993"/>
      <c r="Z340" s="994"/>
      <c r="AA340" s="992"/>
      <c r="AB340" s="993"/>
      <c r="AC340" s="993"/>
      <c r="AD340" s="994"/>
      <c r="AE340" s="1041"/>
      <c r="AF340" s="1042"/>
      <c r="AG340" s="1043"/>
      <c r="AH340" s="255"/>
      <c r="AI340" s="557"/>
      <c r="AJ340" s="557"/>
      <c r="AK340" s="556"/>
      <c r="AL340" s="556"/>
    </row>
    <row r="341" spans="1:38" ht="14.25" customHeight="1" x14ac:dyDescent="0.2">
      <c r="B341" s="333">
        <f>IF(COUNTIF(AE340:AG344, "No")&gt;0, 4, IF(COUNTIF(AE340:AG344, "Yes")&gt;0,6,9))</f>
        <v>9</v>
      </c>
      <c r="C341" s="708"/>
      <c r="D341" s="709"/>
      <c r="E341" s="709"/>
      <c r="F341" s="709"/>
      <c r="G341" s="709"/>
      <c r="H341" s="709"/>
      <c r="I341" s="709"/>
      <c r="J341" s="1416"/>
      <c r="K341" s="1217"/>
      <c r="L341" s="1211"/>
      <c r="M341" s="1211"/>
      <c r="N341" s="1211"/>
      <c r="O341" s="1211"/>
      <c r="P341" s="1212"/>
      <c r="Q341" s="1405"/>
      <c r="R341" s="1406"/>
      <c r="S341" s="1406"/>
      <c r="T341" s="1406"/>
      <c r="U341" s="1406"/>
      <c r="V341" s="1407"/>
      <c r="W341" s="992"/>
      <c r="X341" s="993"/>
      <c r="Y341" s="993"/>
      <c r="Z341" s="994"/>
      <c r="AA341" s="992"/>
      <c r="AB341" s="993"/>
      <c r="AC341" s="993"/>
      <c r="AD341" s="994"/>
      <c r="AE341" s="1041"/>
      <c r="AF341" s="1042"/>
      <c r="AG341" s="1043"/>
      <c r="AH341" s="255"/>
      <c r="AI341" s="557"/>
      <c r="AJ341" s="557"/>
      <c r="AK341" s="556"/>
      <c r="AL341" s="556"/>
    </row>
    <row r="342" spans="1:38" ht="14.25" customHeight="1" x14ac:dyDescent="0.2">
      <c r="C342" s="1203" t="s">
        <v>989</v>
      </c>
      <c r="D342" s="685"/>
      <c r="E342" s="685"/>
      <c r="F342" s="685"/>
      <c r="G342" s="685"/>
      <c r="H342" s="685"/>
      <c r="I342" s="685"/>
      <c r="J342" s="1213"/>
      <c r="K342" s="1217"/>
      <c r="L342" s="1211"/>
      <c r="M342" s="1211"/>
      <c r="N342" s="1211"/>
      <c r="O342" s="1211"/>
      <c r="P342" s="1212"/>
      <c r="Q342" s="1405"/>
      <c r="R342" s="1406"/>
      <c r="S342" s="1406"/>
      <c r="T342" s="1406"/>
      <c r="U342" s="1406"/>
      <c r="V342" s="1407"/>
      <c r="W342" s="992"/>
      <c r="X342" s="993"/>
      <c r="Y342" s="993"/>
      <c r="Z342" s="994"/>
      <c r="AA342" s="992"/>
      <c r="AB342" s="993"/>
      <c r="AC342" s="993"/>
      <c r="AD342" s="994"/>
      <c r="AE342" s="1041"/>
      <c r="AF342" s="1042"/>
      <c r="AG342" s="1043"/>
      <c r="AH342" s="255"/>
      <c r="AI342" s="557"/>
      <c r="AJ342" s="557"/>
      <c r="AK342" s="556"/>
      <c r="AL342" s="556"/>
    </row>
    <row r="343" spans="1:38" ht="14.25" customHeight="1" x14ac:dyDescent="0.2">
      <c r="C343" s="1214"/>
      <c r="D343" s="1215"/>
      <c r="E343" s="1215"/>
      <c r="F343" s="1215"/>
      <c r="G343" s="1215"/>
      <c r="H343" s="1215"/>
      <c r="I343" s="1215"/>
      <c r="J343" s="1216"/>
      <c r="K343" s="1217"/>
      <c r="L343" s="1211"/>
      <c r="M343" s="1211"/>
      <c r="N343" s="1211"/>
      <c r="O343" s="1211"/>
      <c r="P343" s="1212"/>
      <c r="Q343" s="1405"/>
      <c r="R343" s="1406"/>
      <c r="S343" s="1406"/>
      <c r="T343" s="1406"/>
      <c r="U343" s="1406"/>
      <c r="V343" s="1407"/>
      <c r="W343" s="992"/>
      <c r="X343" s="993"/>
      <c r="Y343" s="993"/>
      <c r="Z343" s="994"/>
      <c r="AA343" s="992"/>
      <c r="AB343" s="993"/>
      <c r="AC343" s="993"/>
      <c r="AD343" s="994"/>
      <c r="AE343" s="1041"/>
      <c r="AF343" s="1042"/>
      <c r="AG343" s="1043"/>
      <c r="AH343" s="255"/>
      <c r="AI343" s="557"/>
      <c r="AJ343" s="557"/>
      <c r="AK343" s="556"/>
      <c r="AL343" s="556"/>
    </row>
    <row r="344" spans="1:38" ht="14.25" customHeight="1" x14ac:dyDescent="0.2">
      <c r="A344" s="554">
        <f>IF(D303="Yes",IF(AK344&lt;&gt;1,1,0),0)</f>
        <v>0</v>
      </c>
      <c r="B344" s="344">
        <f>IF(D303="Yes",IF(B345=4,2,1),0)</f>
        <v>0</v>
      </c>
      <c r="C344" s="1156" t="s">
        <v>986</v>
      </c>
      <c r="D344" s="1157"/>
      <c r="E344" s="1157"/>
      <c r="F344" s="1157"/>
      <c r="G344" s="1157"/>
      <c r="H344" s="1157"/>
      <c r="I344" s="1157"/>
      <c r="J344" s="1415"/>
      <c r="K344" s="1217"/>
      <c r="L344" s="1211"/>
      <c r="M344" s="1211"/>
      <c r="N344" s="1211"/>
      <c r="O344" s="1211"/>
      <c r="P344" s="1212"/>
      <c r="Q344" s="1405"/>
      <c r="R344" s="1406"/>
      <c r="S344" s="1406"/>
      <c r="T344" s="1406"/>
      <c r="U344" s="1406"/>
      <c r="V344" s="1407"/>
      <c r="W344" s="992"/>
      <c r="X344" s="993"/>
      <c r="Y344" s="993"/>
      <c r="Z344" s="994"/>
      <c r="AA344" s="992"/>
      <c r="AB344" s="993"/>
      <c r="AC344" s="993"/>
      <c r="AD344" s="994"/>
      <c r="AE344" s="1041"/>
      <c r="AF344" s="1042"/>
      <c r="AG344" s="1043"/>
      <c r="AH344" s="255"/>
      <c r="AI344" s="557">
        <f>IF(D303="No",1,IF(D303="Yes", IF(K344&gt;="a",  IF(COUNTBLANK(W344)=0,1,0),0),0))</f>
        <v>0</v>
      </c>
      <c r="AJ344" s="557"/>
      <c r="AK344" s="556">
        <f>IF(AF125="X", IF(AI344=0,IF(D303="Yes",1,3),2),0)</f>
        <v>0</v>
      </c>
      <c r="AL344" s="556"/>
    </row>
    <row r="345" spans="1:38" ht="14.25" customHeight="1" x14ac:dyDescent="0.2">
      <c r="B345" s="333">
        <f>IF(COUNTIF(AE344:AG348, "No")&gt;0, 4, IF(COUNTIF(AE344:AG348, "Yes")&gt;0,6,9))</f>
        <v>9</v>
      </c>
      <c r="C345" s="708"/>
      <c r="D345" s="709"/>
      <c r="E345" s="709"/>
      <c r="F345" s="709"/>
      <c r="G345" s="709"/>
      <c r="H345" s="709"/>
      <c r="I345" s="709"/>
      <c r="J345" s="1416"/>
      <c r="K345" s="1217"/>
      <c r="L345" s="1211"/>
      <c r="M345" s="1211"/>
      <c r="N345" s="1211"/>
      <c r="O345" s="1211"/>
      <c r="P345" s="1212"/>
      <c r="Q345" s="1405"/>
      <c r="R345" s="1406"/>
      <c r="S345" s="1406"/>
      <c r="T345" s="1406"/>
      <c r="U345" s="1406"/>
      <c r="V345" s="1407"/>
      <c r="W345" s="992"/>
      <c r="X345" s="993"/>
      <c r="Y345" s="993"/>
      <c r="Z345" s="994"/>
      <c r="AA345" s="992"/>
      <c r="AB345" s="993"/>
      <c r="AC345" s="993"/>
      <c r="AD345" s="994"/>
      <c r="AE345" s="1041"/>
      <c r="AF345" s="1042"/>
      <c r="AG345" s="1043"/>
      <c r="AH345" s="255"/>
      <c r="AI345" s="557"/>
      <c r="AJ345" s="557"/>
      <c r="AK345" s="556"/>
      <c r="AL345" s="556"/>
    </row>
    <row r="346" spans="1:38" ht="14.25" customHeight="1" x14ac:dyDescent="0.2">
      <c r="C346" s="1203" t="s">
        <v>987</v>
      </c>
      <c r="D346" s="1410"/>
      <c r="E346" s="1410"/>
      <c r="F346" s="1410"/>
      <c r="G346" s="1410"/>
      <c r="H346" s="1410"/>
      <c r="I346" s="1410"/>
      <c r="J346" s="1411"/>
      <c r="K346" s="1217"/>
      <c r="L346" s="1211"/>
      <c r="M346" s="1211"/>
      <c r="N346" s="1211"/>
      <c r="O346" s="1211"/>
      <c r="P346" s="1212"/>
      <c r="Q346" s="1405"/>
      <c r="R346" s="1406"/>
      <c r="S346" s="1406"/>
      <c r="T346" s="1406"/>
      <c r="U346" s="1406"/>
      <c r="V346" s="1407"/>
      <c r="W346" s="992"/>
      <c r="X346" s="993"/>
      <c r="Y346" s="993"/>
      <c r="Z346" s="994"/>
      <c r="AA346" s="992"/>
      <c r="AB346" s="993"/>
      <c r="AC346" s="993"/>
      <c r="AD346" s="994"/>
      <c r="AE346" s="1041"/>
      <c r="AF346" s="1042"/>
      <c r="AG346" s="1043"/>
      <c r="AH346" s="255"/>
      <c r="AI346" s="557"/>
      <c r="AJ346" s="557"/>
      <c r="AK346" s="556"/>
      <c r="AL346" s="556"/>
    </row>
    <row r="347" spans="1:38" ht="14.25" customHeight="1" x14ac:dyDescent="0.2">
      <c r="C347" s="1203"/>
      <c r="D347" s="1410"/>
      <c r="E347" s="1410"/>
      <c r="F347" s="1410"/>
      <c r="G347" s="1410"/>
      <c r="H347" s="1410"/>
      <c r="I347" s="1410"/>
      <c r="J347" s="1411"/>
      <c r="K347" s="1217"/>
      <c r="L347" s="1211"/>
      <c r="M347" s="1211"/>
      <c r="N347" s="1211"/>
      <c r="O347" s="1211"/>
      <c r="P347" s="1212"/>
      <c r="Q347" s="1405"/>
      <c r="R347" s="1406"/>
      <c r="S347" s="1406"/>
      <c r="T347" s="1406"/>
      <c r="U347" s="1406"/>
      <c r="V347" s="1407"/>
      <c r="W347" s="992"/>
      <c r="X347" s="993"/>
      <c r="Y347" s="993"/>
      <c r="Z347" s="994"/>
      <c r="AA347" s="992"/>
      <c r="AB347" s="993"/>
      <c r="AC347" s="993"/>
      <c r="AD347" s="994"/>
      <c r="AE347" s="1041"/>
      <c r="AF347" s="1042"/>
      <c r="AG347" s="1043"/>
      <c r="AH347" s="255"/>
      <c r="AI347" s="557"/>
      <c r="AJ347" s="557"/>
      <c r="AK347" s="556"/>
      <c r="AL347" s="556"/>
    </row>
    <row r="348" spans="1:38" ht="14.25" customHeight="1" x14ac:dyDescent="0.2">
      <c r="A348" s="564"/>
      <c r="B348" s="340"/>
      <c r="C348" s="1412"/>
      <c r="D348" s="1413"/>
      <c r="E348" s="1413"/>
      <c r="F348" s="1413"/>
      <c r="G348" s="1413"/>
      <c r="H348" s="1413"/>
      <c r="I348" s="1413"/>
      <c r="J348" s="1414"/>
      <c r="K348" s="1217"/>
      <c r="L348" s="1211"/>
      <c r="M348" s="1211"/>
      <c r="N348" s="1211"/>
      <c r="O348" s="1211"/>
      <c r="P348" s="1212"/>
      <c r="Q348" s="1405"/>
      <c r="R348" s="1406"/>
      <c r="S348" s="1406"/>
      <c r="T348" s="1406"/>
      <c r="U348" s="1406"/>
      <c r="V348" s="1407"/>
      <c r="W348" s="992"/>
      <c r="X348" s="993"/>
      <c r="Y348" s="993"/>
      <c r="Z348" s="994"/>
      <c r="AA348" s="992"/>
      <c r="AB348" s="993"/>
      <c r="AC348" s="993"/>
      <c r="AD348" s="994"/>
      <c r="AE348" s="1041"/>
      <c r="AF348" s="1042"/>
      <c r="AG348" s="1043"/>
      <c r="AH348" s="255"/>
      <c r="AI348" s="557"/>
      <c r="AJ348" s="557"/>
      <c r="AK348" s="556"/>
      <c r="AL348" s="556"/>
    </row>
    <row r="349" spans="1:38" ht="14.25" customHeight="1" x14ac:dyDescent="0.2">
      <c r="A349" s="564">
        <f>IF(D304="Yes",IF(AK349&lt;&gt;1,1,0),0)</f>
        <v>0</v>
      </c>
      <c r="B349" s="344">
        <f>IF(D304="Yes",IF(B350=4,2,1),0)</f>
        <v>0</v>
      </c>
      <c r="C349" s="1156" t="s">
        <v>995</v>
      </c>
      <c r="D349" s="1157"/>
      <c r="E349" s="1157"/>
      <c r="F349" s="1157"/>
      <c r="G349" s="1157"/>
      <c r="H349" s="1157"/>
      <c r="I349" s="1157"/>
      <c r="J349" s="1415"/>
      <c r="K349" s="1211"/>
      <c r="L349" s="1211"/>
      <c r="M349" s="1211"/>
      <c r="N349" s="1211"/>
      <c r="O349" s="1211"/>
      <c r="P349" s="1212"/>
      <c r="Q349" s="1405"/>
      <c r="R349" s="1406"/>
      <c r="S349" s="1406"/>
      <c r="T349" s="1406"/>
      <c r="U349" s="1406"/>
      <c r="V349" s="1407"/>
      <c r="W349" s="992"/>
      <c r="X349" s="993"/>
      <c r="Y349" s="993"/>
      <c r="Z349" s="994"/>
      <c r="AA349" s="992"/>
      <c r="AB349" s="993"/>
      <c r="AC349" s="993"/>
      <c r="AD349" s="994"/>
      <c r="AE349" s="1041"/>
      <c r="AF349" s="1042"/>
      <c r="AG349" s="1043"/>
      <c r="AH349" s="255"/>
      <c r="AI349" s="557">
        <f>IF(D304="No",1,IF(D304="Yes", IF(K349&gt;="a",  IF(COUNTBLANK(W349)=0,1,0),0),0))</f>
        <v>0</v>
      </c>
      <c r="AJ349" s="557"/>
      <c r="AK349" s="556">
        <f>IF(AF125="X", IF(AI349=0,IF(D304="Yes",1,3),2),0)</f>
        <v>0</v>
      </c>
      <c r="AL349" s="556"/>
    </row>
    <row r="350" spans="1:38" ht="14.25" customHeight="1" x14ac:dyDescent="0.2">
      <c r="A350" s="564"/>
      <c r="B350" s="333">
        <f>IF(COUNTIF(AE349:AG352, "No")&gt;0, 4, IF(COUNTIF(AE349:AG352, "Yes")&gt;0,6,9))</f>
        <v>9</v>
      </c>
      <c r="C350" s="708"/>
      <c r="D350" s="709"/>
      <c r="E350" s="709"/>
      <c r="F350" s="709"/>
      <c r="G350" s="709"/>
      <c r="H350" s="709"/>
      <c r="I350" s="709"/>
      <c r="J350" s="1416"/>
      <c r="K350" s="1211"/>
      <c r="L350" s="1211"/>
      <c r="M350" s="1211"/>
      <c r="N350" s="1211"/>
      <c r="O350" s="1211"/>
      <c r="P350" s="1212"/>
      <c r="Q350" s="1405"/>
      <c r="R350" s="1406"/>
      <c r="S350" s="1406"/>
      <c r="T350" s="1406"/>
      <c r="U350" s="1406"/>
      <c r="V350" s="1407"/>
      <c r="W350" s="992"/>
      <c r="X350" s="993"/>
      <c r="Y350" s="993"/>
      <c r="Z350" s="994"/>
      <c r="AA350" s="992"/>
      <c r="AB350" s="993"/>
      <c r="AC350" s="993"/>
      <c r="AD350" s="994"/>
      <c r="AE350" s="1041"/>
      <c r="AF350" s="1042"/>
      <c r="AG350" s="1043"/>
      <c r="AH350" s="255"/>
      <c r="AI350" s="557"/>
      <c r="AJ350" s="557"/>
      <c r="AK350" s="556"/>
      <c r="AL350" s="556"/>
    </row>
    <row r="351" spans="1:38" ht="14.25" customHeight="1" x14ac:dyDescent="0.2">
      <c r="A351" s="564"/>
      <c r="B351" s="340"/>
      <c r="C351" s="1203" t="s">
        <v>996</v>
      </c>
      <c r="D351" s="1410"/>
      <c r="E351" s="1410"/>
      <c r="F351" s="1410"/>
      <c r="G351" s="1410"/>
      <c r="H351" s="1410"/>
      <c r="I351" s="1410"/>
      <c r="J351" s="1411"/>
      <c r="K351" s="1217"/>
      <c r="L351" s="1211"/>
      <c r="M351" s="1211"/>
      <c r="N351" s="1211"/>
      <c r="O351" s="1211"/>
      <c r="P351" s="1212"/>
      <c r="Q351" s="1405"/>
      <c r="R351" s="1406"/>
      <c r="S351" s="1406"/>
      <c r="T351" s="1406"/>
      <c r="U351" s="1406"/>
      <c r="V351" s="1407"/>
      <c r="W351" s="992"/>
      <c r="X351" s="993"/>
      <c r="Y351" s="993"/>
      <c r="Z351" s="994"/>
      <c r="AA351" s="992"/>
      <c r="AB351" s="993"/>
      <c r="AC351" s="993"/>
      <c r="AD351" s="994"/>
      <c r="AE351" s="1041"/>
      <c r="AF351" s="1042"/>
      <c r="AG351" s="1043"/>
      <c r="AH351" s="255"/>
      <c r="AI351" s="557"/>
      <c r="AJ351" s="557"/>
      <c r="AK351" s="556"/>
      <c r="AL351" s="556"/>
    </row>
    <row r="352" spans="1:38" ht="14.25" customHeight="1" x14ac:dyDescent="0.2">
      <c r="A352" s="564"/>
      <c r="B352" s="340"/>
      <c r="C352" s="1203"/>
      <c r="D352" s="1410"/>
      <c r="E352" s="1410"/>
      <c r="F352" s="1410"/>
      <c r="G352" s="1410"/>
      <c r="H352" s="1410"/>
      <c r="I352" s="1410"/>
      <c r="J352" s="1411"/>
      <c r="K352" s="1970"/>
      <c r="L352" s="1971"/>
      <c r="M352" s="1971"/>
      <c r="N352" s="1971"/>
      <c r="O352" s="1971"/>
      <c r="P352" s="1972"/>
      <c r="Q352" s="1405"/>
      <c r="R352" s="1406"/>
      <c r="S352" s="1406"/>
      <c r="T352" s="1406"/>
      <c r="U352" s="1406"/>
      <c r="V352" s="1407"/>
      <c r="W352" s="992"/>
      <c r="X352" s="993"/>
      <c r="Y352" s="993"/>
      <c r="Z352" s="994"/>
      <c r="AA352" s="992"/>
      <c r="AB352" s="993"/>
      <c r="AC352" s="993"/>
      <c r="AD352" s="994"/>
      <c r="AE352" s="1041"/>
      <c r="AF352" s="1042"/>
      <c r="AG352" s="1043"/>
      <c r="AH352" s="255"/>
      <c r="AI352" s="557"/>
      <c r="AJ352" s="557"/>
      <c r="AK352" s="556"/>
      <c r="AL352" s="556"/>
    </row>
    <row r="353" spans="1:69" ht="14.25" customHeight="1" x14ac:dyDescent="0.2">
      <c r="A353" s="564">
        <f>IF(D305="Yes",IF(AK353&lt;&gt;1,1,0),0)</f>
        <v>0</v>
      </c>
      <c r="B353" s="344">
        <f>IF(D305="Yes",IF(B354=4,2,1),0)</f>
        <v>0</v>
      </c>
      <c r="C353" s="1156" t="s">
        <v>982</v>
      </c>
      <c r="D353" s="1157"/>
      <c r="E353" s="1157"/>
      <c r="F353" s="1157"/>
      <c r="G353" s="1157"/>
      <c r="H353" s="1157"/>
      <c r="I353" s="1157"/>
      <c r="J353" s="1415"/>
      <c r="K353" s="1217"/>
      <c r="L353" s="1211"/>
      <c r="M353" s="1211"/>
      <c r="N353" s="1211"/>
      <c r="O353" s="1211"/>
      <c r="P353" s="1212"/>
      <c r="Q353" s="1405"/>
      <c r="R353" s="1406"/>
      <c r="S353" s="1406"/>
      <c r="T353" s="1406"/>
      <c r="U353" s="1406"/>
      <c r="V353" s="1407"/>
      <c r="W353" s="992"/>
      <c r="X353" s="993"/>
      <c r="Y353" s="993"/>
      <c r="Z353" s="994"/>
      <c r="AA353" s="992"/>
      <c r="AB353" s="993"/>
      <c r="AC353" s="993"/>
      <c r="AD353" s="994"/>
      <c r="AE353" s="1041"/>
      <c r="AF353" s="1042"/>
      <c r="AG353" s="1043"/>
      <c r="AH353" s="255"/>
      <c r="AI353" s="557">
        <f>IF(D305="No",1,IF(D305="Yes", IF(K353&gt;="a",  IF(COUNTBLANK(W353)=0,1,0),0),0))</f>
        <v>0</v>
      </c>
      <c r="AJ353" s="557"/>
      <c r="AK353" s="556">
        <f>IF(AF125="X", IF(AI353=0,IF(D305="Yes",1,3),2),0)</f>
        <v>0</v>
      </c>
      <c r="AL353" s="556"/>
    </row>
    <row r="354" spans="1:69" ht="14.25" customHeight="1" x14ac:dyDescent="0.2">
      <c r="A354" s="564"/>
      <c r="B354" s="333">
        <f>IF(COUNTIF(AE353:AG355, "No")&gt;0, 4, IF(COUNTIF(AE353:AG355, "Yes")&gt;0,6,9))</f>
        <v>9</v>
      </c>
      <c r="C354" s="1203" t="s">
        <v>198</v>
      </c>
      <c r="D354" s="1154"/>
      <c r="E354" s="1154"/>
      <c r="F354" s="1154"/>
      <c r="G354" s="1154"/>
      <c r="H354" s="1154"/>
      <c r="I354" s="1154"/>
      <c r="J354" s="1204"/>
      <c r="K354" s="1217"/>
      <c r="L354" s="1211"/>
      <c r="M354" s="1211"/>
      <c r="N354" s="1211"/>
      <c r="O354" s="1211"/>
      <c r="P354" s="1212"/>
      <c r="Q354" s="1405"/>
      <c r="R354" s="1406"/>
      <c r="S354" s="1406"/>
      <c r="T354" s="1406"/>
      <c r="U354" s="1406"/>
      <c r="V354" s="1407"/>
      <c r="W354" s="992"/>
      <c r="X354" s="993"/>
      <c r="Y354" s="993"/>
      <c r="Z354" s="994"/>
      <c r="AA354" s="992"/>
      <c r="AB354" s="993"/>
      <c r="AC354" s="993"/>
      <c r="AD354" s="994"/>
      <c r="AE354" s="1041"/>
      <c r="AF354" s="1042"/>
      <c r="AG354" s="1043"/>
      <c r="AH354" s="255"/>
      <c r="AI354" s="557"/>
      <c r="AJ354" s="557"/>
      <c r="AK354" s="556"/>
      <c r="AL354" s="556"/>
    </row>
    <row r="355" spans="1:69" ht="14.25" customHeight="1" x14ac:dyDescent="0.2">
      <c r="A355" s="564"/>
      <c r="B355" s="340"/>
      <c r="C355" s="1205"/>
      <c r="D355" s="1206"/>
      <c r="E355" s="1206"/>
      <c r="F355" s="1206"/>
      <c r="G355" s="1206"/>
      <c r="H355" s="1206"/>
      <c r="I355" s="1206"/>
      <c r="J355" s="1207"/>
      <c r="K355" s="1217"/>
      <c r="L355" s="1211"/>
      <c r="M355" s="1211"/>
      <c r="N355" s="1211"/>
      <c r="O355" s="1211"/>
      <c r="P355" s="1212"/>
      <c r="Q355" s="1405"/>
      <c r="R355" s="1406"/>
      <c r="S355" s="1406"/>
      <c r="T355" s="1406"/>
      <c r="U355" s="1406"/>
      <c r="V355" s="1407"/>
      <c r="W355" s="992"/>
      <c r="X355" s="993"/>
      <c r="Y355" s="993"/>
      <c r="Z355" s="994"/>
      <c r="AA355" s="992"/>
      <c r="AB355" s="993"/>
      <c r="AC355" s="993"/>
      <c r="AD355" s="994"/>
      <c r="AE355" s="1041"/>
      <c r="AF355" s="1042"/>
      <c r="AG355" s="1043"/>
      <c r="AH355" s="255"/>
      <c r="AI355" s="557"/>
      <c r="AJ355" s="557"/>
      <c r="AK355" s="556"/>
      <c r="AL355" s="556"/>
    </row>
    <row r="356" spans="1:69" ht="14.25" customHeight="1" x14ac:dyDescent="0.2">
      <c r="A356" s="564">
        <f>IF(D306="Yes",IF(AK356&lt;&gt;1,1,0),0)</f>
        <v>0</v>
      </c>
      <c r="B356" s="344">
        <f>IF(D306="Yes",IF(B357=4,2,1),0)</f>
        <v>0</v>
      </c>
      <c r="C356" s="1156" t="s">
        <v>983</v>
      </c>
      <c r="D356" s="1157"/>
      <c r="E356" s="1157"/>
      <c r="F356" s="1157"/>
      <c r="G356" s="1157"/>
      <c r="H356" s="1157"/>
      <c r="I356" s="1157"/>
      <c r="J356" s="1415"/>
      <c r="K356" s="1217"/>
      <c r="L356" s="1211"/>
      <c r="M356" s="1211"/>
      <c r="N356" s="1211"/>
      <c r="O356" s="1211"/>
      <c r="P356" s="1212"/>
      <c r="Q356" s="1405"/>
      <c r="R356" s="1406"/>
      <c r="S356" s="1406"/>
      <c r="T356" s="1406"/>
      <c r="U356" s="1406"/>
      <c r="V356" s="1407"/>
      <c r="W356" s="992"/>
      <c r="X356" s="993"/>
      <c r="Y356" s="993"/>
      <c r="Z356" s="994"/>
      <c r="AA356" s="992"/>
      <c r="AB356" s="993"/>
      <c r="AC356" s="993"/>
      <c r="AD356" s="994"/>
      <c r="AE356" s="1041"/>
      <c r="AF356" s="1042"/>
      <c r="AG356" s="1043"/>
      <c r="AH356" s="255"/>
      <c r="AI356" s="601">
        <f>IF(D306="No",1,IF(D306="Yes", IF(K356&gt;="a", IF(COUNTBLANK(W356)=0,1,0),0),0))</f>
        <v>0</v>
      </c>
      <c r="AJ356" s="557"/>
      <c r="AK356" s="556">
        <f>IF(AF125="X", IF(AI356=0,IF(D306="Yes",1,3),2),0)</f>
        <v>0</v>
      </c>
      <c r="AL356" s="556"/>
    </row>
    <row r="357" spans="1:69" ht="14.25" customHeight="1" x14ac:dyDescent="0.2">
      <c r="A357" s="564"/>
      <c r="B357" s="333">
        <f>IF(COUNTIF(AE356:AG359, "No")&gt;0, 4, IF(COUNTIF(AE356:AG359, "Yes")&gt;0,6,9))</f>
        <v>9</v>
      </c>
      <c r="C357" s="1203" t="s">
        <v>180</v>
      </c>
      <c r="D357" s="1417"/>
      <c r="E357" s="1417"/>
      <c r="F357" s="1417"/>
      <c r="G357" s="1417"/>
      <c r="H357" s="1417"/>
      <c r="I357" s="1417"/>
      <c r="J357" s="1418"/>
      <c r="K357" s="1217"/>
      <c r="L357" s="1211"/>
      <c r="M357" s="1211"/>
      <c r="N357" s="1211"/>
      <c r="O357" s="1211"/>
      <c r="P357" s="1212"/>
      <c r="Q357" s="1405"/>
      <c r="R357" s="1406"/>
      <c r="S357" s="1406"/>
      <c r="T357" s="1406"/>
      <c r="U357" s="1406"/>
      <c r="V357" s="1407"/>
      <c r="W357" s="992"/>
      <c r="X357" s="993"/>
      <c r="Y357" s="993"/>
      <c r="Z357" s="994"/>
      <c r="AA357" s="992"/>
      <c r="AB357" s="993"/>
      <c r="AC357" s="993"/>
      <c r="AD357" s="994"/>
      <c r="AE357" s="1041"/>
      <c r="AF357" s="1042"/>
      <c r="AG357" s="1043"/>
      <c r="AH357" s="255"/>
      <c r="AI357" s="557"/>
      <c r="AJ357" s="557"/>
      <c r="AK357" s="556"/>
      <c r="AL357" s="556"/>
    </row>
    <row r="358" spans="1:69" ht="14.25" customHeight="1" x14ac:dyDescent="0.2">
      <c r="A358" s="564"/>
      <c r="B358" s="340"/>
      <c r="C358" s="1419"/>
      <c r="D358" s="1417"/>
      <c r="E358" s="1417"/>
      <c r="F358" s="1417"/>
      <c r="G358" s="1417"/>
      <c r="H358" s="1417"/>
      <c r="I358" s="1417"/>
      <c r="J358" s="1418"/>
      <c r="K358" s="1217"/>
      <c r="L358" s="1211"/>
      <c r="M358" s="1211"/>
      <c r="N358" s="1211"/>
      <c r="O358" s="1211"/>
      <c r="P358" s="1212"/>
      <c r="Q358" s="1405"/>
      <c r="R358" s="1406"/>
      <c r="S358" s="1406"/>
      <c r="T358" s="1406"/>
      <c r="U358" s="1406"/>
      <c r="V358" s="1407"/>
      <c r="W358" s="992"/>
      <c r="X358" s="993"/>
      <c r="Y358" s="993"/>
      <c r="Z358" s="994"/>
      <c r="AA358" s="992"/>
      <c r="AB358" s="993"/>
      <c r="AC358" s="993"/>
      <c r="AD358" s="994"/>
      <c r="AE358" s="1041"/>
      <c r="AF358" s="1042"/>
      <c r="AG358" s="1043"/>
      <c r="AH358" s="255"/>
      <c r="AI358" s="557"/>
      <c r="AJ358" s="557"/>
      <c r="AK358" s="556"/>
      <c r="AL358" s="556"/>
    </row>
    <row r="359" spans="1:69" ht="14.25" customHeight="1" x14ac:dyDescent="0.2">
      <c r="A359" s="564"/>
      <c r="B359" s="340"/>
      <c r="C359" s="1420"/>
      <c r="D359" s="1421"/>
      <c r="E359" s="1421"/>
      <c r="F359" s="1421"/>
      <c r="G359" s="1421"/>
      <c r="H359" s="1421"/>
      <c r="I359" s="1421"/>
      <c r="J359" s="1422"/>
      <c r="K359" s="1217"/>
      <c r="L359" s="1211"/>
      <c r="M359" s="1211"/>
      <c r="N359" s="1211"/>
      <c r="O359" s="1211"/>
      <c r="P359" s="1212"/>
      <c r="Q359" s="1405"/>
      <c r="R359" s="1406"/>
      <c r="S359" s="1406"/>
      <c r="T359" s="1406"/>
      <c r="U359" s="1406"/>
      <c r="V359" s="1407"/>
      <c r="W359" s="992"/>
      <c r="X359" s="993"/>
      <c r="Y359" s="993"/>
      <c r="Z359" s="994"/>
      <c r="AA359" s="992"/>
      <c r="AB359" s="993"/>
      <c r="AC359" s="993"/>
      <c r="AD359" s="994"/>
      <c r="AE359" s="1041"/>
      <c r="AF359" s="1042"/>
      <c r="AG359" s="1043"/>
      <c r="AH359" s="255"/>
      <c r="AI359" s="557"/>
      <c r="AJ359" s="557"/>
      <c r="AK359" s="556"/>
      <c r="AL359" s="556"/>
    </row>
    <row r="360" spans="1:69" ht="14.25" customHeight="1" x14ac:dyDescent="0.2">
      <c r="A360" s="564">
        <f>IF(D307="Yes",IF(AK360&lt;&gt;1,1,0),0)</f>
        <v>0</v>
      </c>
      <c r="B360" s="344">
        <f>IF(D307="Yes",IF(B361=4,2,1),0)</f>
        <v>0</v>
      </c>
      <c r="C360" s="1156" t="s">
        <v>984</v>
      </c>
      <c r="D360" s="1157"/>
      <c r="E360" s="1157"/>
      <c r="F360" s="1157"/>
      <c r="G360" s="1157"/>
      <c r="H360" s="1157"/>
      <c r="I360" s="1157"/>
      <c r="J360" s="1415"/>
      <c r="K360" s="1217"/>
      <c r="L360" s="1211"/>
      <c r="M360" s="1211"/>
      <c r="N360" s="1211"/>
      <c r="O360" s="1211"/>
      <c r="P360" s="1212"/>
      <c r="Q360" s="1405"/>
      <c r="R360" s="1406"/>
      <c r="S360" s="1406"/>
      <c r="T360" s="1406"/>
      <c r="U360" s="1406"/>
      <c r="V360" s="1407"/>
      <c r="W360" s="992"/>
      <c r="X360" s="993"/>
      <c r="Y360" s="993"/>
      <c r="Z360" s="994"/>
      <c r="AA360" s="992"/>
      <c r="AB360" s="993"/>
      <c r="AC360" s="993"/>
      <c r="AD360" s="994"/>
      <c r="AE360" s="1041"/>
      <c r="AF360" s="1042"/>
      <c r="AG360" s="1043"/>
      <c r="AH360" s="255"/>
      <c r="AI360" s="557">
        <f>IF(D307="No",1,IF(D307="Yes", IF(K360&gt;="a", IF(COUNTBLANK(W360)=0,1,0),0),0))</f>
        <v>0</v>
      </c>
      <c r="AJ360" s="557"/>
      <c r="AK360" s="556">
        <f>IF(AF125="X", IF(AI360=0,IF(D307="Yes",1,3),2),0)</f>
        <v>0</v>
      </c>
      <c r="AL360" s="556"/>
    </row>
    <row r="361" spans="1:69" ht="14.25" customHeight="1" x14ac:dyDescent="0.2">
      <c r="B361" s="333">
        <f>IF(COUNTIF(AE360:AG364, "No")&gt;0, 4, IF(COUNTIF(AE360:AG364, "Yes")&gt;0,6,9))</f>
        <v>9</v>
      </c>
      <c r="C361" s="708"/>
      <c r="D361" s="709"/>
      <c r="E361" s="709"/>
      <c r="F361" s="709"/>
      <c r="G361" s="709"/>
      <c r="H361" s="709"/>
      <c r="I361" s="709"/>
      <c r="J361" s="1416"/>
      <c r="K361" s="1217"/>
      <c r="L361" s="1211"/>
      <c r="M361" s="1211"/>
      <c r="N361" s="1211"/>
      <c r="O361" s="1211"/>
      <c r="P361" s="1212"/>
      <c r="Q361" s="1405"/>
      <c r="R361" s="1406"/>
      <c r="S361" s="1406"/>
      <c r="T361" s="1406"/>
      <c r="U361" s="1406"/>
      <c r="V361" s="1407"/>
      <c r="W361" s="992"/>
      <c r="X361" s="993"/>
      <c r="Y361" s="993"/>
      <c r="Z361" s="994"/>
      <c r="AA361" s="992"/>
      <c r="AB361" s="993"/>
      <c r="AC361" s="993"/>
      <c r="AD361" s="994"/>
      <c r="AE361" s="1041"/>
      <c r="AF361" s="1042"/>
      <c r="AG361" s="1043"/>
      <c r="AH361" s="255"/>
      <c r="AI361" s="557"/>
      <c r="AJ361" s="557"/>
      <c r="AK361" s="556"/>
      <c r="AL361" s="556"/>
    </row>
    <row r="362" spans="1:69" ht="14.25" customHeight="1" x14ac:dyDescent="0.2">
      <c r="C362" s="1203" t="s">
        <v>985</v>
      </c>
      <c r="D362" s="1410"/>
      <c r="E362" s="1410"/>
      <c r="F362" s="1410"/>
      <c r="G362" s="1410"/>
      <c r="H362" s="1410"/>
      <c r="I362" s="1410"/>
      <c r="J362" s="1411"/>
      <c r="K362" s="1217"/>
      <c r="L362" s="1211"/>
      <c r="M362" s="1211"/>
      <c r="N362" s="1211"/>
      <c r="O362" s="1211"/>
      <c r="P362" s="1212"/>
      <c r="Q362" s="1405"/>
      <c r="R362" s="1406"/>
      <c r="S362" s="1406"/>
      <c r="T362" s="1406"/>
      <c r="U362" s="1406"/>
      <c r="V362" s="1407"/>
      <c r="W362" s="992"/>
      <c r="X362" s="993"/>
      <c r="Y362" s="993"/>
      <c r="Z362" s="994"/>
      <c r="AA362" s="992"/>
      <c r="AB362" s="993"/>
      <c r="AC362" s="993"/>
      <c r="AD362" s="994"/>
      <c r="AE362" s="1041"/>
      <c r="AF362" s="1042"/>
      <c r="AG362" s="1043"/>
      <c r="AH362" s="373"/>
      <c r="AI362" s="557"/>
      <c r="AJ362" s="557"/>
      <c r="AK362" s="556"/>
      <c r="AL362" s="556"/>
    </row>
    <row r="363" spans="1:69" ht="14.25" customHeight="1" x14ac:dyDescent="0.2">
      <c r="C363" s="1412"/>
      <c r="D363" s="1413"/>
      <c r="E363" s="1413"/>
      <c r="F363" s="1413"/>
      <c r="G363" s="1413"/>
      <c r="H363" s="1413"/>
      <c r="I363" s="1413"/>
      <c r="J363" s="1414"/>
      <c r="K363" s="1217"/>
      <c r="L363" s="1211"/>
      <c r="M363" s="1211"/>
      <c r="N363" s="1211"/>
      <c r="O363" s="1211"/>
      <c r="P363" s="1212"/>
      <c r="Q363" s="1405"/>
      <c r="R363" s="1406"/>
      <c r="S363" s="1406"/>
      <c r="T363" s="1406"/>
      <c r="U363" s="1406"/>
      <c r="V363" s="1407"/>
      <c r="W363" s="992"/>
      <c r="X363" s="993"/>
      <c r="Y363" s="993"/>
      <c r="Z363" s="994"/>
      <c r="AA363" s="992"/>
      <c r="AB363" s="993"/>
      <c r="AC363" s="993"/>
      <c r="AD363" s="994"/>
      <c r="AE363" s="1041"/>
      <c r="AF363" s="1042"/>
      <c r="AG363" s="1043"/>
      <c r="AH363" s="373"/>
      <c r="AI363" s="557"/>
      <c r="AJ363" s="557"/>
      <c r="AK363" s="556"/>
      <c r="AL363" s="556"/>
    </row>
    <row r="364" spans="1:69" ht="14.25" customHeight="1" x14ac:dyDescent="0.2">
      <c r="C364" s="1063" t="s">
        <v>1105</v>
      </c>
      <c r="D364" s="1064"/>
      <c r="E364" s="1064"/>
      <c r="F364" s="1064"/>
      <c r="G364" s="1064"/>
      <c r="H364" s="1064"/>
      <c r="I364" s="1064"/>
      <c r="J364" s="1065"/>
      <c r="K364" s="1197"/>
      <c r="L364" s="1198"/>
      <c r="M364" s="1198"/>
      <c r="N364" s="1198"/>
      <c r="O364" s="1198"/>
      <c r="P364" s="1199"/>
      <c r="Q364" s="1454"/>
      <c r="R364" s="1455"/>
      <c r="S364" s="1455"/>
      <c r="T364" s="1455"/>
      <c r="U364" s="1455"/>
      <c r="V364" s="1456"/>
      <c r="W364" s="1451"/>
      <c r="X364" s="1452"/>
      <c r="Y364" s="1452"/>
      <c r="Z364" s="1453"/>
      <c r="AA364" s="1451"/>
      <c r="AB364" s="1452"/>
      <c r="AC364" s="1452"/>
      <c r="AD364" s="1453"/>
      <c r="AE364" s="1436"/>
      <c r="AF364" s="1437"/>
      <c r="AG364" s="1438"/>
      <c r="AH364" s="373"/>
      <c r="AI364" s="557"/>
      <c r="AJ364" s="557"/>
      <c r="AK364" s="556"/>
      <c r="AL364" s="556"/>
    </row>
    <row r="365" spans="1:69" ht="14.25" customHeight="1" x14ac:dyDescent="0.2">
      <c r="C365" s="1066"/>
      <c r="D365" s="1067"/>
      <c r="E365" s="1067"/>
      <c r="F365" s="1067"/>
      <c r="G365" s="1067"/>
      <c r="H365" s="1067"/>
      <c r="I365" s="1067"/>
      <c r="J365" s="1068"/>
      <c r="K365" s="1197"/>
      <c r="L365" s="1198"/>
      <c r="M365" s="1198"/>
      <c r="N365" s="1198"/>
      <c r="O365" s="1198"/>
      <c r="P365" s="1199"/>
      <c r="Q365" s="1454"/>
      <c r="R365" s="1455"/>
      <c r="S365" s="1455"/>
      <c r="T365" s="1455"/>
      <c r="U365" s="1455"/>
      <c r="V365" s="1456"/>
      <c r="W365" s="1451"/>
      <c r="X365" s="1452"/>
      <c r="Y365" s="1452"/>
      <c r="Z365" s="1453"/>
      <c r="AA365" s="1451"/>
      <c r="AB365" s="1452"/>
      <c r="AC365" s="1452"/>
      <c r="AD365" s="1453"/>
      <c r="AE365" s="1616"/>
      <c r="AF365" s="1617"/>
      <c r="AG365" s="1618"/>
      <c r="AH365" s="373"/>
      <c r="AI365" s="557"/>
      <c r="AJ365" s="557"/>
      <c r="AK365" s="556"/>
      <c r="AL365" s="556"/>
      <c r="BQ365" s="21"/>
    </row>
    <row r="366" spans="1:69" ht="3" customHeight="1" x14ac:dyDescent="0.2">
      <c r="AH366" s="373"/>
      <c r="AI366" s="557"/>
      <c r="AJ366" s="557"/>
      <c r="AK366" s="556"/>
      <c r="AL366" s="556"/>
    </row>
    <row r="367" spans="1:69" ht="12.75" customHeight="1" x14ac:dyDescent="0.2">
      <c r="A367" s="560">
        <f>COUNTIF(D298:E307,"Yes")</f>
        <v>0</v>
      </c>
      <c r="AE367" s="106" t="s">
        <v>697</v>
      </c>
      <c r="AH367" s="373"/>
      <c r="AI367" s="557"/>
      <c r="AJ367" s="557"/>
      <c r="AK367" s="556"/>
      <c r="AL367" s="556"/>
    </row>
    <row r="368" spans="1:69" ht="12.75" customHeight="1" x14ac:dyDescent="0.2">
      <c r="A368" s="560">
        <f>IF(A367&gt;0, IF(B136=1,1,0),0)</f>
        <v>0</v>
      </c>
      <c r="C368" s="12" t="s">
        <v>587</v>
      </c>
      <c r="E368" s="12" t="s">
        <v>82</v>
      </c>
      <c r="AE368" s="745"/>
      <c r="AF368" s="982"/>
      <c r="AH368" s="373"/>
      <c r="AI368" s="557"/>
      <c r="AJ368" s="557"/>
      <c r="AK368" s="556"/>
      <c r="AL368" s="556"/>
    </row>
    <row r="369" spans="1:68" ht="10.5" customHeight="1" x14ac:dyDescent="0.2">
      <c r="C369" s="12"/>
      <c r="E369" s="12" t="s">
        <v>83</v>
      </c>
      <c r="AD369" s="222"/>
      <c r="AE369" s="222"/>
      <c r="AF369" s="222"/>
      <c r="AG369" s="222"/>
      <c r="AH369" s="373"/>
      <c r="AI369" s="557"/>
      <c r="AJ369" s="557"/>
      <c r="AK369" s="556"/>
      <c r="AL369" s="556"/>
    </row>
    <row r="370" spans="1:68" ht="12.75" customHeight="1" x14ac:dyDescent="0.2">
      <c r="A370" s="569" t="str">
        <f>IF(B136=1, IF(AE368="Yes", IF(AE370="Yes",3,IF(AE370="No",2,4)),IF(AE368="No",0,4)),IF(B136&gt;1,0,""))</f>
        <v/>
      </c>
      <c r="E370" s="27"/>
      <c r="F370" s="259" t="s">
        <v>882</v>
      </c>
      <c r="G370" s="12" t="s">
        <v>199</v>
      </c>
      <c r="H370" s="259"/>
      <c r="I370" s="12"/>
      <c r="J370" s="12"/>
      <c r="AE370" s="745"/>
      <c r="AF370" s="982"/>
      <c r="AH370" s="373"/>
      <c r="AI370" s="557"/>
      <c r="AJ370" s="557">
        <f>IF(B136=1, IF(A367=0,1,IF(A370=4,0, 1)),IF(B136&gt;1,1,0))</f>
        <v>0</v>
      </c>
      <c r="AK370" s="556">
        <f>IF(AF125="X", IF(AJ370=0,1,2),0)</f>
        <v>0</v>
      </c>
      <c r="AL370" s="556"/>
      <c r="AQ370" s="341"/>
      <c r="AR370" s="341"/>
      <c r="AS370" s="341"/>
      <c r="AT370" s="341"/>
      <c r="AU370" s="341"/>
      <c r="AV370" s="341"/>
      <c r="AW370" s="341"/>
      <c r="AX370" s="341"/>
      <c r="AY370" s="341"/>
      <c r="AZ370" s="341"/>
      <c r="BA370" s="341"/>
      <c r="BB370" s="341"/>
      <c r="BC370" s="341"/>
      <c r="BD370" s="341"/>
      <c r="BE370" s="341"/>
      <c r="BF370" s="341"/>
      <c r="BG370" s="341"/>
      <c r="BH370" s="341"/>
      <c r="BI370" s="341"/>
      <c r="BJ370" s="341"/>
      <c r="BK370" s="341"/>
      <c r="BL370" s="341"/>
      <c r="BM370" s="341"/>
      <c r="BN370" s="341"/>
      <c r="BO370" s="341"/>
      <c r="BP370" s="341" t="str">
        <f>A370</f>
        <v/>
      </c>
    </row>
    <row r="371" spans="1:68" ht="2.25" customHeight="1" x14ac:dyDescent="0.2">
      <c r="A371" s="556" t="s">
        <v>279</v>
      </c>
      <c r="B371" s="346" t="s">
        <v>85</v>
      </c>
      <c r="E371" s="12"/>
      <c r="AH371" s="373"/>
      <c r="AI371" s="557"/>
      <c r="AJ371" s="557"/>
      <c r="AK371" s="556"/>
      <c r="AL371" s="556"/>
    </row>
    <row r="372" spans="1:68" ht="12.75" customHeight="1" x14ac:dyDescent="0.2">
      <c r="A372" s="560" t="s">
        <v>280</v>
      </c>
      <c r="B372" s="346"/>
      <c r="C372" s="341">
        <f>IF(A367&gt;0, IF(A370=3,A371,IF(A370=2,B371, A372)),0)</f>
        <v>0</v>
      </c>
      <c r="E372" s="12"/>
      <c r="G372" s="12"/>
      <c r="AH372" s="373"/>
      <c r="AI372" s="557"/>
      <c r="AJ372" s="557"/>
      <c r="AK372" s="556"/>
      <c r="AL372" s="556"/>
    </row>
    <row r="373" spans="1:68" ht="3" customHeight="1" x14ac:dyDescent="0.2">
      <c r="E373" s="12"/>
      <c r="AH373" s="373"/>
      <c r="AI373" s="557"/>
      <c r="AJ373" s="557" t="str">
        <f>A370</f>
        <v/>
      </c>
      <c r="AK373" s="556"/>
      <c r="AL373" s="556"/>
    </row>
    <row r="374" spans="1:68" ht="15.75" customHeight="1" x14ac:dyDescent="0.25">
      <c r="A374" s="560" t="str">
        <f>IF(A323=1, "Cereals containing gluten, ","")&amp;IF(A328=1,"Crustacea, ","")&amp;IF(A332=1,"Egg, ","")&amp;IF(A336=1,"Fish, ","")&amp;IF(D302="Yes","Lupin, ","")&amp;IF(A344=1,"Milk, ","")&amp;IF(A349=1,"Peanut, ","")&amp;IF(A353=1,"Sesame, ","")&amp;IF(A356=1,"Soy, ","")&amp;IF(A360=1,"Tree nuts","")</f>
        <v/>
      </c>
      <c r="C374" s="260"/>
      <c r="D374" s="4"/>
      <c r="E374" s="320" t="s">
        <v>84</v>
      </c>
      <c r="F374" s="1432"/>
      <c r="G374" s="1433"/>
      <c r="H374" s="1433"/>
      <c r="I374" s="1433"/>
      <c r="J374" s="1433"/>
      <c r="K374" s="1433"/>
      <c r="L374" s="1433"/>
      <c r="M374" s="1433"/>
      <c r="N374" s="1433"/>
      <c r="O374" s="1433"/>
      <c r="P374" s="1433"/>
      <c r="Q374" s="1433"/>
      <c r="R374" s="1433"/>
      <c r="S374" s="1433"/>
      <c r="T374" s="1433"/>
      <c r="U374" s="1433"/>
      <c r="V374" s="1433"/>
      <c r="W374" s="1433"/>
      <c r="X374" s="1433"/>
      <c r="Y374" s="1433"/>
      <c r="Z374" s="1433"/>
      <c r="AA374" s="1433"/>
      <c r="AB374" s="1433"/>
      <c r="AC374" s="1433"/>
      <c r="AD374" s="1433"/>
      <c r="AE374" s="1433"/>
      <c r="AF374" s="1433"/>
      <c r="AG374" s="1434"/>
      <c r="AH374" s="373"/>
      <c r="AI374" s="557"/>
      <c r="AJ374" s="557">
        <f>IF(A370&gt;1,IF(A370=4,1,IF(F374&gt;"a",1,0)),IF(COUNTIF(D298:D301,"No")+COUNTIF(D303:D307,"No")=9,1,IF(F374&gt;"a",1,0)))</f>
        <v>0</v>
      </c>
      <c r="AK374" s="556">
        <f>IF(AF125="X", IF(AJ374=0,1,2),0)</f>
        <v>0</v>
      </c>
      <c r="AL374" s="556"/>
    </row>
    <row r="375" spans="1:68" ht="6" customHeight="1" x14ac:dyDescent="0.2">
      <c r="AH375" s="373"/>
      <c r="AI375" s="557"/>
      <c r="AJ375" s="557"/>
      <c r="AK375" s="556"/>
      <c r="AL375" s="556"/>
    </row>
    <row r="376" spans="1:68" ht="15" customHeight="1" x14ac:dyDescent="0.2">
      <c r="C376" s="5" t="s">
        <v>910</v>
      </c>
      <c r="D376" s="5"/>
      <c r="E376" s="5"/>
      <c r="AE376" s="88" t="s">
        <v>697</v>
      </c>
      <c r="AH376" s="410" t="s">
        <v>1042</v>
      </c>
      <c r="AI376" s="556"/>
      <c r="AJ376" s="557"/>
      <c r="AK376" s="556"/>
      <c r="AL376" s="556"/>
    </row>
    <row r="377" spans="1:68" ht="13.5" customHeight="1" x14ac:dyDescent="0.2">
      <c r="A377" s="570" t="s">
        <v>882</v>
      </c>
      <c r="B377" s="347" t="s">
        <v>881</v>
      </c>
      <c r="C377" s="14" t="s">
        <v>588</v>
      </c>
      <c r="D377" s="5"/>
      <c r="E377" s="5"/>
      <c r="AE377" s="745"/>
      <c r="AF377" s="982"/>
      <c r="AH377" s="222"/>
      <c r="AI377" s="556"/>
      <c r="AJ377" s="557">
        <f>IF(AE377&lt;"a",0,1)</f>
        <v>0</v>
      </c>
      <c r="AK377" s="556">
        <f>IF(AF125="X", IF(AJ377=0,1,2),0)</f>
        <v>0</v>
      </c>
      <c r="AL377" s="556"/>
    </row>
    <row r="378" spans="1:68" ht="13.5" customHeight="1" x14ac:dyDescent="0.2">
      <c r="A378" s="570"/>
      <c r="B378" s="347"/>
      <c r="C378" s="14"/>
      <c r="D378" s="5"/>
      <c r="E378" s="12" t="s">
        <v>520</v>
      </c>
      <c r="AH378" s="255"/>
      <c r="AI378" s="556"/>
      <c r="AJ378" s="557"/>
      <c r="AK378" s="556"/>
      <c r="AL378" s="556"/>
    </row>
    <row r="379" spans="1:68" ht="23.25" customHeight="1" x14ac:dyDescent="0.2">
      <c r="A379" s="571" t="s">
        <v>281</v>
      </c>
      <c r="B379" s="348" t="s">
        <v>501</v>
      </c>
      <c r="C379" s="112"/>
      <c r="D379" s="181"/>
      <c r="E379" s="459"/>
      <c r="F379" s="460" t="str">
        <f>IF(AE377="Yes",A377,IF(AE377="No",B377,""))</f>
        <v/>
      </c>
      <c r="G379" s="1435" t="str">
        <f>IF(AE377="Yes",A379,IF(AE377="No",B379,""))</f>
        <v/>
      </c>
      <c r="H379" s="1435"/>
      <c r="I379" s="1435"/>
      <c r="J379" s="1435"/>
      <c r="K379" s="1435"/>
      <c r="L379" s="1435"/>
      <c r="M379" s="1435"/>
      <c r="N379" s="1435"/>
      <c r="O379" s="1435"/>
      <c r="P379" s="1435"/>
      <c r="Q379" s="1435"/>
      <c r="R379" s="1435"/>
      <c r="S379" s="1435"/>
      <c r="T379" s="1435"/>
      <c r="U379" s="1435"/>
      <c r="V379" s="1435"/>
      <c r="W379" s="1435"/>
      <c r="X379" s="1435"/>
      <c r="Y379" s="1435"/>
      <c r="Z379" s="1435"/>
      <c r="AA379" s="1435"/>
      <c r="AB379" s="1435"/>
      <c r="AC379" s="1435"/>
      <c r="AD379" s="1435"/>
      <c r="AE379" s="1435"/>
      <c r="AF379" s="1435"/>
      <c r="AG379" s="461"/>
      <c r="AH379" s="222"/>
      <c r="AI379" s="556"/>
      <c r="AK379" s="556"/>
      <c r="AL379" s="556"/>
    </row>
    <row r="380" spans="1:68" ht="15" customHeight="1" x14ac:dyDescent="0.2">
      <c r="C380" s="60" t="s">
        <v>176</v>
      </c>
      <c r="D380" s="61"/>
      <c r="E380" s="61"/>
      <c r="F380" s="61"/>
      <c r="G380" s="61"/>
      <c r="H380" s="61"/>
      <c r="I380" s="61"/>
      <c r="J380" s="61"/>
      <c r="K380" s="61"/>
      <c r="L380" s="61"/>
      <c r="M380" s="61"/>
      <c r="N380" s="61"/>
      <c r="O380" s="61"/>
      <c r="P380" s="61"/>
      <c r="Q380" s="61"/>
      <c r="R380" s="981" t="s">
        <v>883</v>
      </c>
      <c r="S380" s="981"/>
      <c r="T380" s="981"/>
      <c r="U380" s="981"/>
      <c r="V380" s="981"/>
      <c r="W380" s="981"/>
      <c r="X380" s="981"/>
      <c r="Y380" s="981"/>
      <c r="Z380" s="981"/>
      <c r="AA380" s="981"/>
      <c r="AB380" s="981"/>
      <c r="AC380" s="981"/>
      <c r="AD380" s="981"/>
      <c r="AE380" s="981"/>
      <c r="AF380" s="981"/>
      <c r="AG380" s="981"/>
      <c r="AH380" s="222"/>
      <c r="AI380" s="556"/>
      <c r="AK380" s="556"/>
      <c r="AL380" s="556"/>
    </row>
    <row r="381" spans="1:68" ht="11.25" customHeight="1" x14ac:dyDescent="0.2">
      <c r="C381" s="912" t="s">
        <v>584</v>
      </c>
      <c r="D381" s="912"/>
      <c r="E381" s="912"/>
      <c r="F381" s="912"/>
      <c r="G381" s="912"/>
      <c r="H381" s="912"/>
      <c r="I381" s="912"/>
      <c r="J381" s="912"/>
      <c r="K381" s="912"/>
      <c r="L381" s="912"/>
      <c r="M381" s="912"/>
      <c r="N381" s="912"/>
      <c r="O381" s="912"/>
      <c r="P381" s="912"/>
      <c r="Q381" s="912"/>
      <c r="R381" s="912"/>
      <c r="S381" s="912"/>
      <c r="T381" s="912"/>
      <c r="U381" s="912"/>
      <c r="V381" s="912"/>
      <c r="W381" s="912"/>
      <c r="X381" s="912"/>
      <c r="Y381" s="912"/>
      <c r="Z381" s="912"/>
      <c r="AA381" s="912"/>
      <c r="AB381" s="912"/>
      <c r="AC381" s="912"/>
      <c r="AD381" s="912"/>
      <c r="AE381" s="912"/>
      <c r="AF381" s="912"/>
      <c r="AH381" s="255"/>
      <c r="AI381" s="556"/>
      <c r="AJ381" s="557"/>
      <c r="AK381" s="556"/>
      <c r="AL381" s="556"/>
    </row>
    <row r="382" spans="1:68" ht="15" customHeight="1" x14ac:dyDescent="0.2">
      <c r="C382" s="687" t="s">
        <v>346</v>
      </c>
      <c r="D382" s="688"/>
      <c r="E382" s="688"/>
      <c r="F382" s="688"/>
      <c r="G382" s="688"/>
      <c r="H382" s="689"/>
      <c r="I382" s="1248" t="s">
        <v>565</v>
      </c>
      <c r="J382" s="1249"/>
      <c r="K382" s="1250"/>
      <c r="L382" s="1248" t="s">
        <v>564</v>
      </c>
      <c r="M382" s="1249"/>
      <c r="N382" s="1250"/>
      <c r="O382" s="1423" t="s">
        <v>73</v>
      </c>
      <c r="P382" s="1424"/>
      <c r="Q382" s="1424"/>
      <c r="R382" s="1424"/>
      <c r="S382" s="1424"/>
      <c r="T382" s="1425"/>
      <c r="U382" s="1439" t="s">
        <v>261</v>
      </c>
      <c r="V382" s="1440"/>
      <c r="W382" s="1440"/>
      <c r="X382" s="1440"/>
      <c r="Y382" s="1440"/>
      <c r="Z382" s="1440"/>
      <c r="AA382" s="1441"/>
      <c r="AB382" s="1448" t="s">
        <v>174</v>
      </c>
      <c r="AC382" s="1449"/>
      <c r="AD382" s="1449"/>
      <c r="AE382" s="1449"/>
      <c r="AF382" s="1449"/>
      <c r="AG382" s="1450"/>
      <c r="AH382" s="373"/>
      <c r="AI382" s="556"/>
      <c r="AJ382" s="557"/>
      <c r="AK382" s="556"/>
      <c r="AL382" s="556"/>
    </row>
    <row r="383" spans="1:68" ht="31.5" customHeight="1" x14ac:dyDescent="0.2">
      <c r="C383" s="690"/>
      <c r="D383" s="691"/>
      <c r="E383" s="691"/>
      <c r="F383" s="691"/>
      <c r="G383" s="691"/>
      <c r="H383" s="692"/>
      <c r="I383" s="1251"/>
      <c r="J383" s="1252"/>
      <c r="K383" s="1253"/>
      <c r="L383" s="1251"/>
      <c r="M383" s="1252"/>
      <c r="N383" s="1253"/>
      <c r="O383" s="1426"/>
      <c r="P383" s="1427"/>
      <c r="Q383" s="1427"/>
      <c r="R383" s="1427"/>
      <c r="S383" s="1427"/>
      <c r="T383" s="1428"/>
      <c r="U383" s="1442"/>
      <c r="V383" s="1443"/>
      <c r="W383" s="1443"/>
      <c r="X383" s="1443"/>
      <c r="Y383" s="1443"/>
      <c r="Z383" s="1443"/>
      <c r="AA383" s="1444"/>
      <c r="AB383" s="1613" t="s">
        <v>1110</v>
      </c>
      <c r="AC383" s="1614"/>
      <c r="AD383" s="1614"/>
      <c r="AE383" s="1614"/>
      <c r="AF383" s="1614"/>
      <c r="AG383" s="1615"/>
      <c r="AH383" s="373"/>
      <c r="AI383" s="556"/>
      <c r="AJ383" s="557"/>
      <c r="AK383" s="556"/>
      <c r="AL383" s="556"/>
    </row>
    <row r="384" spans="1:68" ht="15.75" customHeight="1" x14ac:dyDescent="0.2">
      <c r="A384" s="560" t="s">
        <v>282</v>
      </c>
      <c r="B384" s="333" t="s">
        <v>122</v>
      </c>
      <c r="C384" s="983"/>
      <c r="D384" s="984"/>
      <c r="E384" s="984"/>
      <c r="F384" s="984"/>
      <c r="G384" s="984"/>
      <c r="H384" s="985"/>
      <c r="I384" s="978" t="s">
        <v>697</v>
      </c>
      <c r="J384" s="979"/>
      <c r="K384" s="980"/>
      <c r="L384" s="978" t="s">
        <v>697</v>
      </c>
      <c r="M384" s="979"/>
      <c r="N384" s="980"/>
      <c r="O384" s="1429"/>
      <c r="P384" s="1430"/>
      <c r="Q384" s="1430"/>
      <c r="R384" s="1430"/>
      <c r="S384" s="1430"/>
      <c r="T384" s="1431"/>
      <c r="U384" s="1445"/>
      <c r="V384" s="1446"/>
      <c r="W384" s="1446"/>
      <c r="X384" s="1446"/>
      <c r="Y384" s="1446"/>
      <c r="Z384" s="1446"/>
      <c r="AA384" s="1447"/>
      <c r="AB384" s="1607" t="s">
        <v>1109</v>
      </c>
      <c r="AC384" s="1608"/>
      <c r="AD384" s="1608"/>
      <c r="AE384" s="1608"/>
      <c r="AF384" s="1608"/>
      <c r="AG384" s="1609"/>
      <c r="AH384" s="373"/>
      <c r="AI384" s="556"/>
      <c r="AJ384" s="557">
        <f>IF(SUM(AI387:AI415)=9,1,0)</f>
        <v>0</v>
      </c>
      <c r="AK384" s="556"/>
      <c r="AL384" s="556"/>
      <c r="AM384" s="556"/>
    </row>
    <row r="385" spans="1:39" ht="14.25" customHeight="1" x14ac:dyDescent="0.2">
      <c r="A385" s="554"/>
      <c r="B385" s="335">
        <f>IF(B323=5, 3,IF(I385="Yes", 1,IF(I385="No",2,0)))</f>
        <v>0</v>
      </c>
      <c r="C385" s="960" t="s">
        <v>1096</v>
      </c>
      <c r="D385" s="961"/>
      <c r="E385" s="961"/>
      <c r="F385" s="961"/>
      <c r="G385" s="961"/>
      <c r="H385" s="962"/>
      <c r="I385" s="666"/>
      <c r="J385" s="667"/>
      <c r="K385" s="668"/>
      <c r="L385" s="1121"/>
      <c r="M385" s="1122"/>
      <c r="N385" s="1123"/>
      <c r="O385" s="969"/>
      <c r="P385" s="970"/>
      <c r="Q385" s="970"/>
      <c r="R385" s="970"/>
      <c r="S385" s="970"/>
      <c r="T385" s="971"/>
      <c r="U385" s="1185"/>
      <c r="V385" s="970"/>
      <c r="W385" s="970"/>
      <c r="X385" s="970"/>
      <c r="Y385" s="970"/>
      <c r="Z385" s="970"/>
      <c r="AA385" s="971"/>
      <c r="AB385" s="1186"/>
      <c r="AC385" s="1187"/>
      <c r="AD385" s="1187"/>
      <c r="AE385" s="1187"/>
      <c r="AF385" s="1187"/>
      <c r="AG385" s="1188"/>
      <c r="AH385" s="373"/>
      <c r="AI385" s="556"/>
      <c r="AK385" s="556"/>
      <c r="AL385" s="556">
        <f>IF(AB385&gt;"",IF(RIGHT(AM385,5)="mg/kg",VALUE(LEFT(AM385,LEN(AM385)-5)),AM385),AB385)</f>
        <v>0</v>
      </c>
      <c r="AM385" s="556">
        <f>IF(AB385&gt;"",IF(LEFT(AB385,9)="less than",((RIGHT(AB385,(LEN(AB385)-10)))),IF(RIGHT(AB385,7)="or less",((LEFT(AB385,(LEN(AB385)-7)))),IF(LEFT(AB385,1)="&lt;",((RIGHT(AB385,(LEN(AB385)-1)))),IF(LEN(AB385)&gt;=5,99,"X")))),VALUE(AB385))</f>
        <v>0</v>
      </c>
    </row>
    <row r="386" spans="1:39" ht="13.15" customHeight="1" x14ac:dyDescent="0.2">
      <c r="B386" s="335"/>
      <c r="C386" s="963"/>
      <c r="D386" s="964"/>
      <c r="E386" s="964"/>
      <c r="F386" s="964"/>
      <c r="G386" s="964"/>
      <c r="H386" s="965"/>
      <c r="I386" s="669"/>
      <c r="J386" s="670"/>
      <c r="K386" s="671"/>
      <c r="L386" s="1124"/>
      <c r="M386" s="1125"/>
      <c r="N386" s="1126"/>
      <c r="O386" s="1118"/>
      <c r="P386" s="1119"/>
      <c r="Q386" s="1119"/>
      <c r="R386" s="1119"/>
      <c r="S386" s="1119"/>
      <c r="T386" s="1120"/>
      <c r="U386" s="1185"/>
      <c r="V386" s="970"/>
      <c r="W386" s="970"/>
      <c r="X386" s="970"/>
      <c r="Y386" s="970"/>
      <c r="Z386" s="970"/>
      <c r="AA386" s="971"/>
      <c r="AB386" s="1186"/>
      <c r="AC386" s="1187"/>
      <c r="AD386" s="1187"/>
      <c r="AE386" s="1187"/>
      <c r="AF386" s="1187"/>
      <c r="AG386" s="1188"/>
      <c r="AH386" s="373"/>
      <c r="AI386" s="556"/>
      <c r="AK386" s="556"/>
      <c r="AL386" s="556">
        <f>IF(AB386&gt;"",IF(RIGHT(AM386,5)="mg/kg",VALUE(LEFT(AM386,LEN(AM386)-5)),AM386),AB386)</f>
        <v>0</v>
      </c>
      <c r="AM386" s="556">
        <f>IF(AB386&gt;"",IF(LEFT(AB386,9)="less than",((RIGHT(AB386,(LEN(AB386)-10)))),IF(RIGHT(AB386,7)="or less",((LEFT(AB386,(LEN(AB386)-7)))),IF(LEFT(AB386,1)="&lt;",((RIGHT(AB386,(LEN(AB386)-1)))),IF(LEN(AB386)&gt;=5,99,"X")))),VALUE(AB386))</f>
        <v>0</v>
      </c>
    </row>
    <row r="387" spans="1:39" ht="13.5" customHeight="1" x14ac:dyDescent="0.2">
      <c r="B387" s="335"/>
      <c r="C387" s="966"/>
      <c r="D387" s="967"/>
      <c r="E387" s="967"/>
      <c r="F387" s="967"/>
      <c r="G387" s="967"/>
      <c r="H387" s="968"/>
      <c r="I387" s="672"/>
      <c r="J387" s="673"/>
      <c r="K387" s="674"/>
      <c r="L387" s="1127"/>
      <c r="M387" s="1128"/>
      <c r="N387" s="1129"/>
      <c r="O387" s="969"/>
      <c r="P387" s="970"/>
      <c r="Q387" s="970"/>
      <c r="R387" s="970"/>
      <c r="S387" s="970"/>
      <c r="T387" s="971"/>
      <c r="U387" s="1185"/>
      <c r="V387" s="970"/>
      <c r="W387" s="970"/>
      <c r="X387" s="970"/>
      <c r="Y387" s="970"/>
      <c r="Z387" s="970"/>
      <c r="AA387" s="971"/>
      <c r="AB387" s="1186"/>
      <c r="AC387" s="1187"/>
      <c r="AD387" s="1187"/>
      <c r="AE387" s="1187"/>
      <c r="AF387" s="1187"/>
      <c r="AG387" s="1188"/>
      <c r="AH387" s="373"/>
      <c r="AI387" s="556">
        <f>IF(B385=1,IF(L385&gt;"a", IF(COUNTBLANK(O385)=0,1,0),0), IF(B385&gt;=2,1,0))</f>
        <v>0</v>
      </c>
      <c r="AJ387" s="557"/>
      <c r="AK387" s="556">
        <f>IF(AF125="X", IF(AI387=0,9,2),0)</f>
        <v>0</v>
      </c>
      <c r="AL387" s="556">
        <f>IF(AB387&gt;"",IF(RIGHT(AM387,5)="mg/kg",VALUE(LEFT(AM387,LEN(AM387)-5)),AM387),AB387)</f>
        <v>0</v>
      </c>
      <c r="AM387" s="556">
        <f>IF(AB387&gt;"",IF(LEFT(AB387,9)="less than",((RIGHT(AB387,(LEN(AB387)-10)))),IF(RIGHT(AB387,7)="or less",((LEFT(AB387,(LEN(AB387)-7)))),IF(LEFT(AB387,1)="&lt;",((RIGHT(AB387,(LEN(AB387)-1)))),IF(LEN(AB387)&gt;=5,99,"X")))),VALUE(AB387))</f>
        <v>0</v>
      </c>
    </row>
    <row r="388" spans="1:39" ht="13.5" customHeight="1" x14ac:dyDescent="0.2">
      <c r="A388" s="554">
        <f>IF(B388=1,IF(COUNTA(AB388:AB390)&gt;0,IF(SUM(AL388:AL390)&gt;5,1,0),0),0)</f>
        <v>0</v>
      </c>
      <c r="B388" s="555">
        <f>IF(B328=2, 3,IF(I388="Yes", 1,IF(I388="No",2,0)))</f>
        <v>0</v>
      </c>
      <c r="C388" s="960" t="s">
        <v>69</v>
      </c>
      <c r="D388" s="961"/>
      <c r="E388" s="961"/>
      <c r="F388" s="961"/>
      <c r="G388" s="961"/>
      <c r="H388" s="962"/>
      <c r="I388" s="666"/>
      <c r="J388" s="667"/>
      <c r="K388" s="668"/>
      <c r="L388" s="666"/>
      <c r="M388" s="667"/>
      <c r="N388" s="668"/>
      <c r="O388" s="1619"/>
      <c r="P388" s="1201"/>
      <c r="Q388" s="1201"/>
      <c r="R388" s="1201"/>
      <c r="S388" s="1201"/>
      <c r="T388" s="1202"/>
      <c r="U388" s="1200"/>
      <c r="V388" s="1201"/>
      <c r="W388" s="1201"/>
      <c r="X388" s="1201"/>
      <c r="Y388" s="1201"/>
      <c r="Z388" s="1201"/>
      <c r="AA388" s="1202"/>
      <c r="AB388" s="1610"/>
      <c r="AC388" s="1611"/>
      <c r="AD388" s="1611"/>
      <c r="AE388" s="1611"/>
      <c r="AF388" s="1611"/>
      <c r="AG388" s="1612"/>
      <c r="AH388" s="373"/>
      <c r="AI388" s="558"/>
      <c r="AJ388" s="557"/>
      <c r="AK388" s="556"/>
      <c r="AL388" s="556">
        <f>IF(AB388&gt;"",IF(RIGHT(AM388,5)="mg/kg",VALUE(LEFT(AM388,LEN(AM388)-5)),AM388),AB388)</f>
        <v>0</v>
      </c>
      <c r="AM388" s="556">
        <f>IF(AB388&gt;"",IF(LEFT(AB388,9)="less than",((RIGHT(AB388,(LEN(AB388)-10)))),IF(RIGHT(AB388,7)="or less",((LEFT(AB388,(LEN(AB388)-7)))),IF(LEFT(AB388,1)="&lt;",((RIGHT(AB388,(LEN(AB388)-1)))),IF(LEN(AB388)&gt;=5,99,"X")))),VALUE(AB388))</f>
        <v>0</v>
      </c>
    </row>
    <row r="389" spans="1:39" ht="13.5" customHeight="1" x14ac:dyDescent="0.2">
      <c r="A389" s="554"/>
      <c r="B389" s="553"/>
      <c r="C389" s="963"/>
      <c r="D389" s="964"/>
      <c r="E389" s="964"/>
      <c r="F389" s="964"/>
      <c r="G389" s="964"/>
      <c r="H389" s="965"/>
      <c r="I389" s="669"/>
      <c r="J389" s="670"/>
      <c r="K389" s="671"/>
      <c r="L389" s="669"/>
      <c r="M389" s="670"/>
      <c r="N389" s="671"/>
      <c r="O389" s="1619"/>
      <c r="P389" s="1201"/>
      <c r="Q389" s="1201"/>
      <c r="R389" s="1201"/>
      <c r="S389" s="1201"/>
      <c r="T389" s="1202"/>
      <c r="U389" s="1200"/>
      <c r="V389" s="1201"/>
      <c r="W389" s="1201"/>
      <c r="X389" s="1201"/>
      <c r="Y389" s="1201"/>
      <c r="Z389" s="1201"/>
      <c r="AA389" s="1202"/>
      <c r="AB389" s="1610"/>
      <c r="AC389" s="1611"/>
      <c r="AD389" s="1611"/>
      <c r="AE389" s="1611"/>
      <c r="AF389" s="1611"/>
      <c r="AG389" s="1612"/>
      <c r="AH389" s="373"/>
      <c r="AI389" s="558"/>
      <c r="AJ389" s="557"/>
      <c r="AK389" s="556"/>
      <c r="AL389" s="556">
        <f t="shared" ref="AL389:AL415" si="3">IF(AB389&gt;"",IF(RIGHT(AM389,5)="mg/kg",VALUE(LEFT(AM389,LEN(AM389)-5)),AM389),AB389)</f>
        <v>0</v>
      </c>
      <c r="AM389" s="556">
        <f t="shared" ref="AM389:AM415" si="4">IF(AB389&gt;"",IF(LEFT(AB389,9)="less than",((RIGHT(AB389,(LEN(AB389)-10)))),IF(RIGHT(AB389,7)="or less",((LEFT(AB389,(LEN(AB389)-7)))),IF(LEFT(AB389,1)="&lt;",((RIGHT(AB389,(LEN(AB389)-1)))),IF(LEN(AB389)&gt;=5,99,"X")))),VALUE(AB389))</f>
        <v>0</v>
      </c>
    </row>
    <row r="390" spans="1:39" ht="13.5" customHeight="1" x14ac:dyDescent="0.2">
      <c r="B390" s="553"/>
      <c r="C390" s="966"/>
      <c r="D390" s="967"/>
      <c r="E390" s="967"/>
      <c r="F390" s="967"/>
      <c r="G390" s="967"/>
      <c r="H390" s="968"/>
      <c r="I390" s="672"/>
      <c r="J390" s="673"/>
      <c r="K390" s="674"/>
      <c r="L390" s="672"/>
      <c r="M390" s="673"/>
      <c r="N390" s="674"/>
      <c r="O390" s="1619"/>
      <c r="P390" s="1201"/>
      <c r="Q390" s="1201"/>
      <c r="R390" s="1201"/>
      <c r="S390" s="1201"/>
      <c r="T390" s="1202"/>
      <c r="U390" s="1200"/>
      <c r="V390" s="1201"/>
      <c r="W390" s="1201"/>
      <c r="X390" s="1201"/>
      <c r="Y390" s="1201"/>
      <c r="Z390" s="1201"/>
      <c r="AA390" s="1202"/>
      <c r="AB390" s="1610"/>
      <c r="AC390" s="1611"/>
      <c r="AD390" s="1611"/>
      <c r="AE390" s="1611"/>
      <c r="AF390" s="1611"/>
      <c r="AG390" s="1612"/>
      <c r="AH390" s="373"/>
      <c r="AI390" s="556">
        <f>IF(B388=1,IF(L388&gt;"a", IF(COUNTBLANK(O388)=0,1,0),0), IF(B388&gt;=2,1,0))</f>
        <v>0</v>
      </c>
      <c r="AJ390" s="557"/>
      <c r="AK390" s="556">
        <f>IF(AF125="X", IF(AI390=0,9,2),0)</f>
        <v>0</v>
      </c>
      <c r="AL390" s="556">
        <f t="shared" si="3"/>
        <v>0</v>
      </c>
      <c r="AM390" s="556">
        <f t="shared" si="4"/>
        <v>0</v>
      </c>
    </row>
    <row r="391" spans="1:39" ht="14.25" customHeight="1" x14ac:dyDescent="0.2">
      <c r="A391" s="554">
        <f>IF(B391=1,IF(COUNTA(AB391:AB393)&gt;0,IF(SUM(AL391:AL393)&gt;5,1,0),0),0)</f>
        <v>0</v>
      </c>
      <c r="B391" s="335">
        <f>IF(B332=2, 3,IF(I391="Yes", 1,IF(I391="No",2,0)))</f>
        <v>0</v>
      </c>
      <c r="C391" s="960" t="s">
        <v>1104</v>
      </c>
      <c r="D391" s="961"/>
      <c r="E391" s="961"/>
      <c r="F391" s="961"/>
      <c r="G391" s="961"/>
      <c r="H391" s="962"/>
      <c r="I391" s="666"/>
      <c r="J391" s="667"/>
      <c r="K391" s="668"/>
      <c r="L391" s="1121"/>
      <c r="M391" s="1122"/>
      <c r="N391" s="1123"/>
      <c r="O391" s="1619"/>
      <c r="P391" s="1201"/>
      <c r="Q391" s="1201"/>
      <c r="R391" s="1201"/>
      <c r="S391" s="1201"/>
      <c r="T391" s="1202"/>
      <c r="U391" s="1200"/>
      <c r="V391" s="1201"/>
      <c r="W391" s="1201"/>
      <c r="X391" s="1201"/>
      <c r="Y391" s="1201"/>
      <c r="Z391" s="1201"/>
      <c r="AA391" s="1202"/>
      <c r="AB391" s="1610"/>
      <c r="AC391" s="1611"/>
      <c r="AD391" s="1611"/>
      <c r="AE391" s="1611"/>
      <c r="AF391" s="1611"/>
      <c r="AG391" s="1612"/>
      <c r="AH391" s="373"/>
      <c r="AI391" s="558"/>
      <c r="AK391" s="556"/>
      <c r="AL391" s="556">
        <f t="shared" si="3"/>
        <v>0</v>
      </c>
      <c r="AM391" s="556">
        <f t="shared" si="4"/>
        <v>0</v>
      </c>
    </row>
    <row r="392" spans="1:39" ht="14.25" customHeight="1" x14ac:dyDescent="0.2">
      <c r="B392" s="335"/>
      <c r="C392" s="963"/>
      <c r="D392" s="964"/>
      <c r="E392" s="964"/>
      <c r="F392" s="964"/>
      <c r="G392" s="964"/>
      <c r="H392" s="965"/>
      <c r="I392" s="669"/>
      <c r="J392" s="670"/>
      <c r="K392" s="671"/>
      <c r="L392" s="1124"/>
      <c r="M392" s="1125"/>
      <c r="N392" s="1126"/>
      <c r="O392" s="1619"/>
      <c r="P392" s="1201"/>
      <c r="Q392" s="1201"/>
      <c r="R392" s="1201"/>
      <c r="S392" s="1201"/>
      <c r="T392" s="1202"/>
      <c r="U392" s="1200"/>
      <c r="V392" s="1201"/>
      <c r="W392" s="1201"/>
      <c r="X392" s="1201"/>
      <c r="Y392" s="1201"/>
      <c r="Z392" s="1201"/>
      <c r="AA392" s="1202"/>
      <c r="AB392" s="1610"/>
      <c r="AC392" s="1611"/>
      <c r="AD392" s="1611"/>
      <c r="AE392" s="1611"/>
      <c r="AF392" s="1611"/>
      <c r="AG392" s="1612"/>
      <c r="AH392" s="373"/>
      <c r="AI392" s="556"/>
      <c r="AJ392" s="557"/>
      <c r="AK392" s="556"/>
      <c r="AL392" s="556">
        <f t="shared" si="3"/>
        <v>0</v>
      </c>
      <c r="AM392" s="556">
        <f t="shared" si="4"/>
        <v>0</v>
      </c>
    </row>
    <row r="393" spans="1:39" ht="12.75" customHeight="1" x14ac:dyDescent="0.2">
      <c r="B393" s="335"/>
      <c r="C393" s="966"/>
      <c r="D393" s="967"/>
      <c r="E393" s="967"/>
      <c r="F393" s="967"/>
      <c r="G393" s="967"/>
      <c r="H393" s="968"/>
      <c r="I393" s="672"/>
      <c r="J393" s="673"/>
      <c r="K393" s="674"/>
      <c r="L393" s="1127"/>
      <c r="M393" s="1128"/>
      <c r="N393" s="1129"/>
      <c r="O393" s="1619"/>
      <c r="P393" s="1201"/>
      <c r="Q393" s="1201"/>
      <c r="R393" s="1201"/>
      <c r="S393" s="1201"/>
      <c r="T393" s="1202"/>
      <c r="U393" s="1200"/>
      <c r="V393" s="1201"/>
      <c r="W393" s="1201"/>
      <c r="X393" s="1201"/>
      <c r="Y393" s="1201"/>
      <c r="Z393" s="1201"/>
      <c r="AA393" s="1202"/>
      <c r="AB393" s="1610"/>
      <c r="AC393" s="1611"/>
      <c r="AD393" s="1611"/>
      <c r="AE393" s="1611"/>
      <c r="AF393" s="1611"/>
      <c r="AG393" s="1612"/>
      <c r="AH393" s="373"/>
      <c r="AI393" s="556">
        <f>IF(B391=1,IF(L391&gt;"a", IF(COUNTBLANK(O391)=0,1,0),0), IF(B391&gt;=2,1,0))</f>
        <v>0</v>
      </c>
      <c r="AK393" s="556">
        <f>IF(AF125="X", IF(AI393=0,9,2),0)</f>
        <v>0</v>
      </c>
      <c r="AL393" s="556">
        <f t="shared" si="3"/>
        <v>0</v>
      </c>
      <c r="AM393" s="556">
        <f t="shared" si="4"/>
        <v>0</v>
      </c>
    </row>
    <row r="394" spans="1:39" ht="14.25" customHeight="1" x14ac:dyDescent="0.2">
      <c r="A394" s="554">
        <f>IF(B394=1,IF(COUNTA(AB394:AB396)&gt;0,IF(SUM(AL394:AL396)&gt;5,1,0),0),0)</f>
        <v>0</v>
      </c>
      <c r="B394" s="335">
        <f>IF(B336=2, 3,IF(I394="Yes", 1,IF(I394="No",2,0)))</f>
        <v>0</v>
      </c>
      <c r="C394" s="960" t="s">
        <v>1103</v>
      </c>
      <c r="D394" s="961"/>
      <c r="E394" s="961"/>
      <c r="F394" s="961"/>
      <c r="G394" s="961"/>
      <c r="H394" s="962"/>
      <c r="I394" s="666"/>
      <c r="J394" s="667"/>
      <c r="K394" s="668"/>
      <c r="L394" s="1121"/>
      <c r="M394" s="1122"/>
      <c r="N394" s="1123"/>
      <c r="O394" s="969"/>
      <c r="P394" s="970"/>
      <c r="Q394" s="970"/>
      <c r="R394" s="970"/>
      <c r="S394" s="970"/>
      <c r="T394" s="971"/>
      <c r="U394" s="1185"/>
      <c r="V394" s="970"/>
      <c r="W394" s="970"/>
      <c r="X394" s="970"/>
      <c r="Y394" s="970"/>
      <c r="Z394" s="970"/>
      <c r="AA394" s="971"/>
      <c r="AB394" s="1186"/>
      <c r="AC394" s="1187"/>
      <c r="AD394" s="1187"/>
      <c r="AE394" s="1187"/>
      <c r="AF394" s="1187"/>
      <c r="AG394" s="1188"/>
      <c r="AH394" s="373"/>
      <c r="AI394" s="558"/>
      <c r="AJ394" s="557"/>
      <c r="AK394" s="556"/>
      <c r="AL394" s="556">
        <f t="shared" si="3"/>
        <v>0</v>
      </c>
      <c r="AM394" s="556">
        <f t="shared" si="4"/>
        <v>0</v>
      </c>
    </row>
    <row r="395" spans="1:39" ht="14.25" customHeight="1" x14ac:dyDescent="0.2">
      <c r="B395" s="335"/>
      <c r="C395" s="963"/>
      <c r="D395" s="964"/>
      <c r="E395" s="964"/>
      <c r="F395" s="964"/>
      <c r="G395" s="964"/>
      <c r="H395" s="965"/>
      <c r="I395" s="669"/>
      <c r="J395" s="670"/>
      <c r="K395" s="671"/>
      <c r="L395" s="1124"/>
      <c r="M395" s="1125"/>
      <c r="N395" s="1126"/>
      <c r="O395" s="969"/>
      <c r="P395" s="970"/>
      <c r="Q395" s="970"/>
      <c r="R395" s="970"/>
      <c r="S395" s="970"/>
      <c r="T395" s="971"/>
      <c r="U395" s="1185"/>
      <c r="V395" s="970"/>
      <c r="W395" s="970"/>
      <c r="X395" s="970"/>
      <c r="Y395" s="970"/>
      <c r="Z395" s="970"/>
      <c r="AA395" s="971"/>
      <c r="AB395" s="1186"/>
      <c r="AC395" s="1187"/>
      <c r="AD395" s="1187"/>
      <c r="AE395" s="1187"/>
      <c r="AF395" s="1187"/>
      <c r="AG395" s="1188"/>
      <c r="AH395" s="373"/>
      <c r="AI395" s="556"/>
      <c r="AJ395" s="557"/>
      <c r="AK395" s="556"/>
      <c r="AL395" s="556">
        <f t="shared" si="3"/>
        <v>0</v>
      </c>
      <c r="AM395" s="556">
        <f t="shared" si="4"/>
        <v>0</v>
      </c>
    </row>
    <row r="396" spans="1:39" ht="14.25" customHeight="1" x14ac:dyDescent="0.2">
      <c r="B396" s="335"/>
      <c r="C396" s="966"/>
      <c r="D396" s="967"/>
      <c r="E396" s="967"/>
      <c r="F396" s="967"/>
      <c r="G396" s="967"/>
      <c r="H396" s="968"/>
      <c r="I396" s="672"/>
      <c r="J396" s="673"/>
      <c r="K396" s="674"/>
      <c r="L396" s="1127"/>
      <c r="M396" s="1128"/>
      <c r="N396" s="1129"/>
      <c r="O396" s="969"/>
      <c r="P396" s="970"/>
      <c r="Q396" s="970"/>
      <c r="R396" s="970"/>
      <c r="S396" s="970"/>
      <c r="T396" s="971"/>
      <c r="U396" s="1185"/>
      <c r="V396" s="970"/>
      <c r="W396" s="970"/>
      <c r="X396" s="970"/>
      <c r="Y396" s="970"/>
      <c r="Z396" s="970"/>
      <c r="AA396" s="971"/>
      <c r="AB396" s="1186"/>
      <c r="AC396" s="1187"/>
      <c r="AD396" s="1187"/>
      <c r="AE396" s="1187"/>
      <c r="AF396" s="1187"/>
      <c r="AG396" s="1188"/>
      <c r="AH396" s="408"/>
      <c r="AI396" s="556">
        <f>IF(B394=1,IF(L394&gt;"a", IF(COUNTBLANK(O394)=0,1,0),0), IF(B394&gt;=2,1,0))</f>
        <v>0</v>
      </c>
      <c r="AJ396" s="557"/>
      <c r="AK396" s="556">
        <f>IF(AF125="X", IF(AI396=0,9,2),0)</f>
        <v>0</v>
      </c>
      <c r="AL396" s="556">
        <f t="shared" si="3"/>
        <v>0</v>
      </c>
      <c r="AM396" s="556">
        <f t="shared" si="4"/>
        <v>0</v>
      </c>
    </row>
    <row r="397" spans="1:39" ht="14.25" customHeight="1" x14ac:dyDescent="0.2">
      <c r="A397" s="554"/>
      <c r="B397" s="335">
        <f>IF(B340=2, 3,IF(I397="Yes", 1,IF(I397="No",2,0)))</f>
        <v>0</v>
      </c>
      <c r="C397" s="960" t="s">
        <v>1102</v>
      </c>
      <c r="D397" s="961"/>
      <c r="E397" s="961"/>
      <c r="F397" s="961"/>
      <c r="G397" s="961"/>
      <c r="H397" s="962"/>
      <c r="I397" s="666"/>
      <c r="J397" s="667"/>
      <c r="K397" s="668"/>
      <c r="L397" s="666"/>
      <c r="M397" s="667"/>
      <c r="N397" s="668"/>
      <c r="O397" s="969"/>
      <c r="P397" s="970"/>
      <c r="Q397" s="970"/>
      <c r="R397" s="970"/>
      <c r="S397" s="970"/>
      <c r="T397" s="971"/>
      <c r="U397" s="1185"/>
      <c r="V397" s="970"/>
      <c r="W397" s="970"/>
      <c r="X397" s="970"/>
      <c r="Y397" s="970"/>
      <c r="Z397" s="970"/>
      <c r="AA397" s="971"/>
      <c r="AB397" s="1186"/>
      <c r="AC397" s="1187"/>
      <c r="AD397" s="1187"/>
      <c r="AE397" s="1187"/>
      <c r="AF397" s="1187"/>
      <c r="AG397" s="1188"/>
      <c r="AH397" s="373"/>
      <c r="AI397" s="558"/>
      <c r="AJ397" s="557"/>
      <c r="AK397" s="556"/>
      <c r="AL397" s="556">
        <f t="shared" si="3"/>
        <v>0</v>
      </c>
      <c r="AM397" s="556">
        <f t="shared" si="4"/>
        <v>0</v>
      </c>
    </row>
    <row r="398" spans="1:39" ht="14.25" customHeight="1" x14ac:dyDescent="0.2">
      <c r="B398" s="335"/>
      <c r="C398" s="966"/>
      <c r="D398" s="967"/>
      <c r="E398" s="967"/>
      <c r="F398" s="967"/>
      <c r="G398" s="967"/>
      <c r="H398" s="968"/>
      <c r="I398" s="669"/>
      <c r="J398" s="670"/>
      <c r="K398" s="671"/>
      <c r="L398" s="672"/>
      <c r="M398" s="673"/>
      <c r="N398" s="674"/>
      <c r="O398" s="969"/>
      <c r="P398" s="970"/>
      <c r="Q398" s="970"/>
      <c r="R398" s="970"/>
      <c r="S398" s="970"/>
      <c r="T398" s="971"/>
      <c r="U398" s="1185"/>
      <c r="V398" s="970"/>
      <c r="W398" s="970"/>
      <c r="X398" s="970"/>
      <c r="Y398" s="970"/>
      <c r="Z398" s="970"/>
      <c r="AA398" s="971"/>
      <c r="AB398" s="1186"/>
      <c r="AC398" s="1187"/>
      <c r="AD398" s="1187"/>
      <c r="AE398" s="1187"/>
      <c r="AF398" s="1187"/>
      <c r="AG398" s="1188"/>
      <c r="AH398" s="373"/>
      <c r="AI398" s="556"/>
      <c r="AJ398" s="557"/>
      <c r="AK398" s="556"/>
      <c r="AL398" s="556">
        <f t="shared" si="3"/>
        <v>0</v>
      </c>
      <c r="AM398" s="556">
        <f t="shared" si="4"/>
        <v>0</v>
      </c>
    </row>
    <row r="399" spans="1:39" ht="14.25" customHeight="1" x14ac:dyDescent="0.2">
      <c r="A399" s="554">
        <f>IF(B399=1,IF(COUNTA(AB399:AB401)&gt;0,IF(SUM(AL399:AL401)&gt;5,1,0),0),0)</f>
        <v>0</v>
      </c>
      <c r="B399" s="335">
        <f>IF(B344=2, 3,IF(I399="Yes", 1,IF(I399="No",2,0)))</f>
        <v>0</v>
      </c>
      <c r="C399" s="960" t="s">
        <v>1097</v>
      </c>
      <c r="D399" s="961"/>
      <c r="E399" s="961"/>
      <c r="F399" s="961"/>
      <c r="G399" s="961"/>
      <c r="H399" s="962"/>
      <c r="I399" s="666"/>
      <c r="J399" s="667"/>
      <c r="K399" s="668"/>
      <c r="L399" s="1121"/>
      <c r="M399" s="1122"/>
      <c r="N399" s="1123"/>
      <c r="O399" s="969"/>
      <c r="P399" s="970"/>
      <c r="Q399" s="970"/>
      <c r="R399" s="970"/>
      <c r="S399" s="970"/>
      <c r="T399" s="971"/>
      <c r="U399" s="1185"/>
      <c r="V399" s="970"/>
      <c r="W399" s="970"/>
      <c r="X399" s="970"/>
      <c r="Y399" s="970"/>
      <c r="Z399" s="970"/>
      <c r="AA399" s="971"/>
      <c r="AB399" s="1186"/>
      <c r="AC399" s="1187"/>
      <c r="AD399" s="1187"/>
      <c r="AE399" s="1187"/>
      <c r="AF399" s="1187"/>
      <c r="AG399" s="1188"/>
      <c r="AH399" s="373"/>
      <c r="AI399" s="556"/>
      <c r="AJ399" s="557"/>
      <c r="AK399" s="556"/>
      <c r="AL399" s="556">
        <f t="shared" si="3"/>
        <v>0</v>
      </c>
      <c r="AM399" s="556">
        <f t="shared" si="4"/>
        <v>0</v>
      </c>
    </row>
    <row r="400" spans="1:39" ht="14.25" customHeight="1" x14ac:dyDescent="0.2">
      <c r="B400" s="335"/>
      <c r="C400" s="963"/>
      <c r="D400" s="964"/>
      <c r="E400" s="964"/>
      <c r="F400" s="964"/>
      <c r="G400" s="964"/>
      <c r="H400" s="965"/>
      <c r="I400" s="669"/>
      <c r="J400" s="670"/>
      <c r="K400" s="671"/>
      <c r="L400" s="1124"/>
      <c r="M400" s="1125"/>
      <c r="N400" s="1126"/>
      <c r="O400" s="969"/>
      <c r="P400" s="970"/>
      <c r="Q400" s="970"/>
      <c r="R400" s="970"/>
      <c r="S400" s="970"/>
      <c r="T400" s="971"/>
      <c r="U400" s="1185"/>
      <c r="V400" s="970"/>
      <c r="W400" s="970"/>
      <c r="X400" s="970"/>
      <c r="Y400" s="970"/>
      <c r="Z400" s="970"/>
      <c r="AA400" s="971"/>
      <c r="AB400" s="1186"/>
      <c r="AC400" s="1187"/>
      <c r="AD400" s="1187"/>
      <c r="AE400" s="1187"/>
      <c r="AF400" s="1187"/>
      <c r="AG400" s="1188"/>
      <c r="AH400" s="373"/>
      <c r="AI400" s="556"/>
      <c r="AJ400" s="557"/>
      <c r="AK400" s="556"/>
      <c r="AL400" s="556">
        <f t="shared" si="3"/>
        <v>0</v>
      </c>
      <c r="AM400" s="556">
        <f t="shared" si="4"/>
        <v>0</v>
      </c>
    </row>
    <row r="401" spans="1:39" ht="14.25" customHeight="1" x14ac:dyDescent="0.2">
      <c r="B401" s="335"/>
      <c r="C401" s="966"/>
      <c r="D401" s="967"/>
      <c r="E401" s="967"/>
      <c r="F401" s="967"/>
      <c r="G401" s="967"/>
      <c r="H401" s="968"/>
      <c r="I401" s="672"/>
      <c r="J401" s="673"/>
      <c r="K401" s="674"/>
      <c r="L401" s="1127"/>
      <c r="M401" s="1128"/>
      <c r="N401" s="1129"/>
      <c r="O401" s="969"/>
      <c r="P401" s="970"/>
      <c r="Q401" s="970"/>
      <c r="R401" s="970"/>
      <c r="S401" s="970"/>
      <c r="T401" s="971"/>
      <c r="U401" s="1185"/>
      <c r="V401" s="970"/>
      <c r="W401" s="970"/>
      <c r="X401" s="970"/>
      <c r="Y401" s="970"/>
      <c r="Z401" s="970"/>
      <c r="AA401" s="971"/>
      <c r="AB401" s="1186"/>
      <c r="AC401" s="1187"/>
      <c r="AD401" s="1187"/>
      <c r="AE401" s="1187"/>
      <c r="AF401" s="1187"/>
      <c r="AG401" s="1188"/>
      <c r="AH401" s="373"/>
      <c r="AI401" s="556">
        <f>IF(B399=1,IF(L399&gt;"a", IF(COUNTBLANK(O399)=0,1,0),0), IF(B399&gt;=2,1,0))</f>
        <v>0</v>
      </c>
      <c r="AJ401" s="557"/>
      <c r="AK401" s="556">
        <f>IF(AF125="X", IF(AI401=0,9,2),0)</f>
        <v>0</v>
      </c>
      <c r="AL401" s="556">
        <f t="shared" si="3"/>
        <v>0</v>
      </c>
      <c r="AM401" s="556">
        <f t="shared" si="4"/>
        <v>0</v>
      </c>
    </row>
    <row r="402" spans="1:39" ht="14.25" customHeight="1" x14ac:dyDescent="0.2">
      <c r="A402" s="554"/>
      <c r="B402" s="335">
        <f>IF(B349=2, 3,IF(I402="Yes", 1,IF(I402="No",2,0)))</f>
        <v>0</v>
      </c>
      <c r="C402" s="1112" t="s">
        <v>1100</v>
      </c>
      <c r="D402" s="1113"/>
      <c r="E402" s="1113"/>
      <c r="F402" s="1113"/>
      <c r="G402" s="1113"/>
      <c r="H402" s="1114"/>
      <c r="I402" s="666"/>
      <c r="J402" s="667"/>
      <c r="K402" s="668"/>
      <c r="L402" s="1121"/>
      <c r="M402" s="1122"/>
      <c r="N402" s="1123"/>
      <c r="O402" s="969"/>
      <c r="P402" s="970"/>
      <c r="Q402" s="970"/>
      <c r="R402" s="970"/>
      <c r="S402" s="970"/>
      <c r="T402" s="971"/>
      <c r="U402" s="1185"/>
      <c r="V402" s="970"/>
      <c r="W402" s="970"/>
      <c r="X402" s="970"/>
      <c r="Y402" s="970"/>
      <c r="Z402" s="970"/>
      <c r="AA402" s="971"/>
      <c r="AB402" s="1186"/>
      <c r="AC402" s="1187"/>
      <c r="AD402" s="1187"/>
      <c r="AE402" s="1187"/>
      <c r="AF402" s="1187"/>
      <c r="AG402" s="1188"/>
      <c r="AH402" s="373"/>
      <c r="AI402" s="558"/>
      <c r="AJ402" s="557"/>
      <c r="AK402" s="556"/>
      <c r="AL402" s="556">
        <f t="shared" si="3"/>
        <v>0</v>
      </c>
      <c r="AM402" s="556">
        <f t="shared" si="4"/>
        <v>0</v>
      </c>
    </row>
    <row r="403" spans="1:39" ht="14.25" customHeight="1" x14ac:dyDescent="0.2">
      <c r="B403" s="335"/>
      <c r="C403" s="1115"/>
      <c r="D403" s="1116"/>
      <c r="E403" s="1116"/>
      <c r="F403" s="1116"/>
      <c r="G403" s="1116"/>
      <c r="H403" s="1117"/>
      <c r="I403" s="669"/>
      <c r="J403" s="670"/>
      <c r="K403" s="671"/>
      <c r="L403" s="1124"/>
      <c r="M403" s="1125"/>
      <c r="N403" s="1126"/>
      <c r="O403" s="969"/>
      <c r="P403" s="970"/>
      <c r="Q403" s="970"/>
      <c r="R403" s="970"/>
      <c r="S403" s="970"/>
      <c r="T403" s="971"/>
      <c r="U403" s="1185"/>
      <c r="V403" s="970"/>
      <c r="W403" s="970"/>
      <c r="X403" s="970"/>
      <c r="Y403" s="970"/>
      <c r="Z403" s="970"/>
      <c r="AA403" s="971"/>
      <c r="AB403" s="1186"/>
      <c r="AC403" s="1187"/>
      <c r="AD403" s="1187"/>
      <c r="AE403" s="1187"/>
      <c r="AF403" s="1187"/>
      <c r="AG403" s="1188"/>
      <c r="AH403" s="373"/>
      <c r="AI403" s="556"/>
      <c r="AJ403" s="557"/>
      <c r="AK403" s="556"/>
      <c r="AL403" s="556">
        <f t="shared" si="3"/>
        <v>0</v>
      </c>
      <c r="AM403" s="556">
        <f t="shared" si="4"/>
        <v>0</v>
      </c>
    </row>
    <row r="404" spans="1:39" ht="14.25" customHeight="1" x14ac:dyDescent="0.2">
      <c r="B404" s="335"/>
      <c r="C404" s="1115"/>
      <c r="D404" s="1116"/>
      <c r="E404" s="1116"/>
      <c r="F404" s="1116"/>
      <c r="G404" s="1116"/>
      <c r="H404" s="1117"/>
      <c r="I404" s="672"/>
      <c r="J404" s="673"/>
      <c r="K404" s="674"/>
      <c r="L404" s="1127"/>
      <c r="M404" s="1128"/>
      <c r="N404" s="1129"/>
      <c r="O404" s="969"/>
      <c r="P404" s="970"/>
      <c r="Q404" s="970"/>
      <c r="R404" s="970"/>
      <c r="S404" s="970"/>
      <c r="T404" s="971"/>
      <c r="U404" s="1185"/>
      <c r="V404" s="970"/>
      <c r="W404" s="970"/>
      <c r="X404" s="970"/>
      <c r="Y404" s="970"/>
      <c r="Z404" s="970"/>
      <c r="AA404" s="971"/>
      <c r="AB404" s="1186"/>
      <c r="AC404" s="1187"/>
      <c r="AD404" s="1187"/>
      <c r="AE404" s="1187"/>
      <c r="AF404" s="1187"/>
      <c r="AG404" s="1188"/>
      <c r="AH404" s="373"/>
      <c r="AI404" s="556">
        <f>IF(B402=1,IF(L402&gt;"a", IF(COUNTBLANK(O402)=0,1,0),0), IF(B402&gt;=2,1,0))</f>
        <v>0</v>
      </c>
      <c r="AJ404" s="557"/>
      <c r="AK404" s="556">
        <f>IF(AF125="X", IF(AI404=0,9,2),0)</f>
        <v>0</v>
      </c>
      <c r="AL404" s="556">
        <f t="shared" si="3"/>
        <v>0</v>
      </c>
      <c r="AM404" s="556">
        <f t="shared" si="4"/>
        <v>0</v>
      </c>
    </row>
    <row r="405" spans="1:39" ht="13.5" customHeight="1" x14ac:dyDescent="0.2">
      <c r="A405" s="554"/>
      <c r="B405" s="335">
        <f>IF(B353=2, 3,IF(I405="Yes",1,IF(I405="No",2,0)))</f>
        <v>0</v>
      </c>
      <c r="C405" s="1112" t="s">
        <v>1101</v>
      </c>
      <c r="D405" s="1113"/>
      <c r="E405" s="1113"/>
      <c r="F405" s="1113"/>
      <c r="G405" s="1113"/>
      <c r="H405" s="1114"/>
      <c r="I405" s="666"/>
      <c r="J405" s="667"/>
      <c r="K405" s="668"/>
      <c r="L405" s="666"/>
      <c r="M405" s="667"/>
      <c r="N405" s="668"/>
      <c r="O405" s="969"/>
      <c r="P405" s="970"/>
      <c r="Q405" s="970"/>
      <c r="R405" s="970"/>
      <c r="S405" s="970"/>
      <c r="T405" s="971"/>
      <c r="U405" s="1185"/>
      <c r="V405" s="970"/>
      <c r="W405" s="970"/>
      <c r="X405" s="970"/>
      <c r="Y405" s="970"/>
      <c r="Z405" s="970"/>
      <c r="AA405" s="971"/>
      <c r="AB405" s="1186"/>
      <c r="AC405" s="1187"/>
      <c r="AD405" s="1187"/>
      <c r="AE405" s="1187"/>
      <c r="AF405" s="1187"/>
      <c r="AG405" s="1188"/>
      <c r="AH405" s="373"/>
      <c r="AI405" s="556"/>
      <c r="AJ405" s="557"/>
      <c r="AK405" s="556"/>
      <c r="AL405" s="556">
        <f t="shared" si="3"/>
        <v>0</v>
      </c>
      <c r="AM405" s="556">
        <f t="shared" si="4"/>
        <v>0</v>
      </c>
    </row>
    <row r="406" spans="1:39" ht="13.5" customHeight="1" x14ac:dyDescent="0.2">
      <c r="A406" s="554"/>
      <c r="B406" s="335"/>
      <c r="C406" s="1115"/>
      <c r="D406" s="1116"/>
      <c r="E406" s="1116"/>
      <c r="F406" s="1116"/>
      <c r="G406" s="1116"/>
      <c r="H406" s="1117"/>
      <c r="I406" s="669"/>
      <c r="J406" s="670"/>
      <c r="K406" s="671"/>
      <c r="L406" s="669"/>
      <c r="M406" s="670"/>
      <c r="N406" s="671"/>
      <c r="O406" s="1118"/>
      <c r="P406" s="1119"/>
      <c r="Q406" s="1119"/>
      <c r="R406" s="1119"/>
      <c r="S406" s="1119"/>
      <c r="T406" s="1120"/>
      <c r="U406" s="1993"/>
      <c r="V406" s="1119"/>
      <c r="W406" s="1119"/>
      <c r="X406" s="1119"/>
      <c r="Y406" s="1119"/>
      <c r="Z406" s="1119"/>
      <c r="AA406" s="1120"/>
      <c r="AB406" s="1994"/>
      <c r="AC406" s="1995"/>
      <c r="AD406" s="1995"/>
      <c r="AE406" s="1995"/>
      <c r="AF406" s="1995"/>
      <c r="AG406" s="1996"/>
      <c r="AH406" s="373"/>
      <c r="AI406" s="556"/>
      <c r="AJ406" s="557"/>
      <c r="AK406" s="556"/>
      <c r="AL406" s="556">
        <f t="shared" si="3"/>
        <v>0</v>
      </c>
      <c r="AM406" s="556">
        <f t="shared" si="4"/>
        <v>0</v>
      </c>
    </row>
    <row r="407" spans="1:39" ht="13.5" customHeight="1" x14ac:dyDescent="0.2">
      <c r="B407" s="335"/>
      <c r="C407" s="1115"/>
      <c r="D407" s="1116"/>
      <c r="E407" s="1116"/>
      <c r="F407" s="1116"/>
      <c r="G407" s="1116"/>
      <c r="H407" s="1117"/>
      <c r="I407" s="669"/>
      <c r="J407" s="670"/>
      <c r="K407" s="671"/>
      <c r="L407" s="672"/>
      <c r="M407" s="673"/>
      <c r="N407" s="674"/>
      <c r="O407" s="969"/>
      <c r="P407" s="970"/>
      <c r="Q407" s="970"/>
      <c r="R407" s="970"/>
      <c r="S407" s="970"/>
      <c r="T407" s="971"/>
      <c r="U407" s="1185"/>
      <c r="V407" s="970"/>
      <c r="W407" s="970"/>
      <c r="X407" s="970"/>
      <c r="Y407" s="970"/>
      <c r="Z407" s="970"/>
      <c r="AA407" s="971"/>
      <c r="AB407" s="1186"/>
      <c r="AC407" s="1187"/>
      <c r="AD407" s="1187"/>
      <c r="AE407" s="1187"/>
      <c r="AF407" s="1187"/>
      <c r="AG407" s="1188"/>
      <c r="AH407" s="373"/>
      <c r="AI407" s="556">
        <f>IF(B405=1,IF(L405&gt;"a", IF(COUNTBLANK(O405)=0,1,0),0), IF(B405&gt;=2,1,0))</f>
        <v>0</v>
      </c>
      <c r="AJ407" s="557"/>
      <c r="AK407" s="556">
        <f>IF(AF125="X", IF(AI407=0,9,2),0)</f>
        <v>0</v>
      </c>
      <c r="AL407" s="556">
        <f t="shared" si="3"/>
        <v>0</v>
      </c>
      <c r="AM407" s="556">
        <f t="shared" si="4"/>
        <v>0</v>
      </c>
    </row>
    <row r="408" spans="1:39" ht="14.25" customHeight="1" x14ac:dyDescent="0.2">
      <c r="A408" s="554"/>
      <c r="B408" s="335">
        <f>IF(B356=2, 3,IF(I408="Yes", 1,IF(I408="No",2,0)))</f>
        <v>0</v>
      </c>
      <c r="C408" s="1112" t="s">
        <v>1099</v>
      </c>
      <c r="D408" s="1113"/>
      <c r="E408" s="1113"/>
      <c r="F408" s="1113"/>
      <c r="G408" s="1113"/>
      <c r="H408" s="1114"/>
      <c r="I408" s="666"/>
      <c r="J408" s="667"/>
      <c r="K408" s="668"/>
      <c r="L408" s="1121"/>
      <c r="M408" s="1122"/>
      <c r="N408" s="1123"/>
      <c r="O408" s="969"/>
      <c r="P408" s="970"/>
      <c r="Q408" s="970"/>
      <c r="R408" s="970"/>
      <c r="S408" s="970"/>
      <c r="T408" s="971"/>
      <c r="U408" s="1185"/>
      <c r="V408" s="970"/>
      <c r="W408" s="970"/>
      <c r="X408" s="970"/>
      <c r="Y408" s="970"/>
      <c r="Z408" s="970"/>
      <c r="AA408" s="971"/>
      <c r="AB408" s="1186"/>
      <c r="AC408" s="1187"/>
      <c r="AD408" s="1187"/>
      <c r="AE408" s="1187"/>
      <c r="AF408" s="1187"/>
      <c r="AG408" s="1188"/>
      <c r="AH408" s="373"/>
      <c r="AI408" s="556"/>
      <c r="AJ408" s="557"/>
      <c r="AK408" s="556"/>
      <c r="AL408" s="556">
        <f t="shared" si="3"/>
        <v>0</v>
      </c>
      <c r="AM408" s="556">
        <f t="shared" si="4"/>
        <v>0</v>
      </c>
    </row>
    <row r="409" spans="1:39" ht="14.25" customHeight="1" x14ac:dyDescent="0.2">
      <c r="B409" s="335"/>
      <c r="C409" s="1115"/>
      <c r="D409" s="1116"/>
      <c r="E409" s="1116"/>
      <c r="F409" s="1116"/>
      <c r="G409" s="1116"/>
      <c r="H409" s="1117"/>
      <c r="I409" s="669"/>
      <c r="J409" s="670"/>
      <c r="K409" s="671"/>
      <c r="L409" s="1124"/>
      <c r="M409" s="1125"/>
      <c r="N409" s="1126"/>
      <c r="O409" s="969"/>
      <c r="P409" s="970"/>
      <c r="Q409" s="970"/>
      <c r="R409" s="970"/>
      <c r="S409" s="970"/>
      <c r="T409" s="971"/>
      <c r="U409" s="1185"/>
      <c r="V409" s="970"/>
      <c r="W409" s="970"/>
      <c r="X409" s="970"/>
      <c r="Y409" s="970"/>
      <c r="Z409" s="970"/>
      <c r="AA409" s="971"/>
      <c r="AB409" s="1186"/>
      <c r="AC409" s="1187"/>
      <c r="AD409" s="1187"/>
      <c r="AE409" s="1187"/>
      <c r="AF409" s="1187"/>
      <c r="AG409" s="1188"/>
      <c r="AH409" s="373"/>
      <c r="AI409" s="556"/>
      <c r="AJ409" s="557"/>
      <c r="AK409" s="556"/>
      <c r="AL409" s="556">
        <f t="shared" si="3"/>
        <v>0</v>
      </c>
      <c r="AM409" s="556">
        <f t="shared" si="4"/>
        <v>0</v>
      </c>
    </row>
    <row r="410" spans="1:39" ht="14.25" customHeight="1" x14ac:dyDescent="0.2">
      <c r="B410" s="335"/>
      <c r="C410" s="1189"/>
      <c r="D410" s="1190"/>
      <c r="E410" s="1190"/>
      <c r="F410" s="1190"/>
      <c r="G410" s="1190"/>
      <c r="H410" s="1191"/>
      <c r="I410" s="672"/>
      <c r="J410" s="673"/>
      <c r="K410" s="674"/>
      <c r="L410" s="1127"/>
      <c r="M410" s="1128"/>
      <c r="N410" s="1129"/>
      <c r="O410" s="969"/>
      <c r="P410" s="970"/>
      <c r="Q410" s="970"/>
      <c r="R410" s="970"/>
      <c r="S410" s="970"/>
      <c r="T410" s="971"/>
      <c r="U410" s="1185"/>
      <c r="V410" s="970"/>
      <c r="W410" s="970"/>
      <c r="X410" s="970"/>
      <c r="Y410" s="970"/>
      <c r="Z410" s="970"/>
      <c r="AA410" s="971"/>
      <c r="AB410" s="1186"/>
      <c r="AC410" s="1187"/>
      <c r="AD410" s="1187"/>
      <c r="AE410" s="1187"/>
      <c r="AF410" s="1187"/>
      <c r="AG410" s="1188"/>
      <c r="AH410" s="373"/>
      <c r="AI410" s="556">
        <f>IF(B408=1,IF(L408&gt;"a", IF(COUNTBLANK(O408)=0,1,0),0), IF(B408&gt;=2,1,0))</f>
        <v>0</v>
      </c>
      <c r="AJ410" s="557"/>
      <c r="AK410" s="556">
        <f>IF(AF125="X", IF(AI410=0,9,2),0)</f>
        <v>0</v>
      </c>
      <c r="AL410" s="556">
        <f t="shared" si="3"/>
        <v>0</v>
      </c>
      <c r="AM410" s="556">
        <f t="shared" si="4"/>
        <v>0</v>
      </c>
    </row>
    <row r="411" spans="1:39" ht="14.25" customHeight="1" x14ac:dyDescent="0.2">
      <c r="B411" s="335">
        <f>IF(B360=5, 3,IF(I411="Yes", 1,IF(I411="No",2,0)))</f>
        <v>0</v>
      </c>
      <c r="C411" s="1112" t="s">
        <v>1098</v>
      </c>
      <c r="D411" s="1113"/>
      <c r="E411" s="1113"/>
      <c r="F411" s="1113"/>
      <c r="G411" s="1113"/>
      <c r="H411" s="1114"/>
      <c r="I411" s="666"/>
      <c r="J411" s="667"/>
      <c r="K411" s="668"/>
      <c r="L411" s="1121"/>
      <c r="M411" s="1122"/>
      <c r="N411" s="1123"/>
      <c r="O411" s="969"/>
      <c r="P411" s="970"/>
      <c r="Q411" s="970"/>
      <c r="R411" s="970"/>
      <c r="S411" s="970"/>
      <c r="T411" s="971"/>
      <c r="U411" s="1185"/>
      <c r="V411" s="970"/>
      <c r="W411" s="970"/>
      <c r="X411" s="970"/>
      <c r="Y411" s="970"/>
      <c r="Z411" s="970"/>
      <c r="AA411" s="971"/>
      <c r="AB411" s="1186"/>
      <c r="AC411" s="1187"/>
      <c r="AD411" s="1187"/>
      <c r="AE411" s="1187"/>
      <c r="AF411" s="1187"/>
      <c r="AG411" s="1188"/>
      <c r="AH411" s="373"/>
      <c r="AI411" s="558"/>
      <c r="AJ411" s="557"/>
      <c r="AK411" s="556"/>
      <c r="AL411" s="556">
        <f t="shared" si="3"/>
        <v>0</v>
      </c>
      <c r="AM411" s="556">
        <f t="shared" si="4"/>
        <v>0</v>
      </c>
    </row>
    <row r="412" spans="1:39" ht="14.25" customHeight="1" x14ac:dyDescent="0.2">
      <c r="B412" s="335"/>
      <c r="C412" s="1115"/>
      <c r="D412" s="1116"/>
      <c r="E412" s="1116"/>
      <c r="F412" s="1116"/>
      <c r="G412" s="1116"/>
      <c r="H412" s="1117"/>
      <c r="I412" s="669"/>
      <c r="J412" s="670"/>
      <c r="K412" s="671"/>
      <c r="L412" s="1124"/>
      <c r="M412" s="1125"/>
      <c r="N412" s="1126"/>
      <c r="O412" s="969"/>
      <c r="P412" s="970"/>
      <c r="Q412" s="970"/>
      <c r="R412" s="970"/>
      <c r="S412" s="970"/>
      <c r="T412" s="971"/>
      <c r="U412" s="1185"/>
      <c r="V412" s="970"/>
      <c r="W412" s="970"/>
      <c r="X412" s="970"/>
      <c r="Y412" s="970"/>
      <c r="Z412" s="970"/>
      <c r="AA412" s="971"/>
      <c r="AB412" s="1186"/>
      <c r="AC412" s="1187"/>
      <c r="AD412" s="1187"/>
      <c r="AE412" s="1187"/>
      <c r="AF412" s="1187"/>
      <c r="AG412" s="1188"/>
      <c r="AH412" s="373"/>
      <c r="AI412" s="558"/>
      <c r="AJ412" s="557"/>
      <c r="AK412" s="556"/>
      <c r="AL412" s="556">
        <f t="shared" si="3"/>
        <v>0</v>
      </c>
      <c r="AM412" s="556">
        <f t="shared" si="4"/>
        <v>0</v>
      </c>
    </row>
    <row r="413" spans="1:39" ht="14.25" customHeight="1" x14ac:dyDescent="0.2">
      <c r="B413" s="335"/>
      <c r="C413" s="1189"/>
      <c r="D413" s="1190"/>
      <c r="E413" s="1190"/>
      <c r="F413" s="1190"/>
      <c r="G413" s="1190"/>
      <c r="H413" s="1191"/>
      <c r="I413" s="672"/>
      <c r="J413" s="673"/>
      <c r="K413" s="674"/>
      <c r="L413" s="1127"/>
      <c r="M413" s="1128"/>
      <c r="N413" s="1129"/>
      <c r="O413" s="969"/>
      <c r="P413" s="970"/>
      <c r="Q413" s="970"/>
      <c r="R413" s="970"/>
      <c r="S413" s="970"/>
      <c r="T413" s="971"/>
      <c r="U413" s="1185"/>
      <c r="V413" s="970"/>
      <c r="W413" s="970"/>
      <c r="X413" s="970"/>
      <c r="Y413" s="970"/>
      <c r="Z413" s="970"/>
      <c r="AA413" s="971"/>
      <c r="AB413" s="1186"/>
      <c r="AC413" s="1187"/>
      <c r="AD413" s="1187"/>
      <c r="AE413" s="1187"/>
      <c r="AF413" s="1187"/>
      <c r="AG413" s="1188"/>
      <c r="AH413" s="373"/>
      <c r="AI413" s="556">
        <f>IF(B411=1,IF(L411&gt;"a", IF(COUNTBLANK(O411)=0,1,0),0), IF(B411&gt;=2,1,0))</f>
        <v>0</v>
      </c>
      <c r="AJ413" s="557"/>
      <c r="AK413" s="556">
        <f>IF(AF125="X", IF(AI413=0,9,2),0)</f>
        <v>0</v>
      </c>
      <c r="AL413" s="556">
        <f t="shared" si="3"/>
        <v>0</v>
      </c>
      <c r="AM413" s="556">
        <f t="shared" si="4"/>
        <v>0</v>
      </c>
    </row>
    <row r="414" spans="1:39" ht="13.5" customHeight="1" x14ac:dyDescent="0.2">
      <c r="B414" s="335">
        <f>IF(I414="Yes", 1,IF(I414="No",2,0))</f>
        <v>0</v>
      </c>
      <c r="C414" s="1166" t="s">
        <v>1105</v>
      </c>
      <c r="D414" s="1167"/>
      <c r="E414" s="1167"/>
      <c r="F414" s="1167"/>
      <c r="G414" s="1167"/>
      <c r="H414" s="1168"/>
      <c r="I414" s="1172"/>
      <c r="J414" s="1173"/>
      <c r="K414" s="1174"/>
      <c r="L414" s="1172"/>
      <c r="M414" s="1173"/>
      <c r="N414" s="1174"/>
      <c r="O414" s="1178"/>
      <c r="P414" s="1179"/>
      <c r="Q414" s="1179"/>
      <c r="R414" s="1179"/>
      <c r="S414" s="1179"/>
      <c r="T414" s="1180"/>
      <c r="U414" s="1178"/>
      <c r="V414" s="1179"/>
      <c r="W414" s="1179"/>
      <c r="X414" s="1179"/>
      <c r="Y414" s="1179"/>
      <c r="Z414" s="1179"/>
      <c r="AA414" s="1180"/>
      <c r="AB414" s="1182"/>
      <c r="AC414" s="1183"/>
      <c r="AD414" s="1183"/>
      <c r="AE414" s="1183"/>
      <c r="AF414" s="1183"/>
      <c r="AG414" s="1184"/>
      <c r="AH414" s="373"/>
      <c r="AI414" s="558"/>
      <c r="AJ414" s="557"/>
      <c r="AK414" s="556"/>
      <c r="AL414" s="556">
        <f t="shared" si="3"/>
        <v>0</v>
      </c>
      <c r="AM414" s="556">
        <f t="shared" si="4"/>
        <v>0</v>
      </c>
    </row>
    <row r="415" spans="1:39" ht="12.75" customHeight="1" x14ac:dyDescent="0.2">
      <c r="B415" s="335"/>
      <c r="C415" s="1169"/>
      <c r="D415" s="1170"/>
      <c r="E415" s="1170"/>
      <c r="F415" s="1170"/>
      <c r="G415" s="1170"/>
      <c r="H415" s="1171"/>
      <c r="I415" s="1175"/>
      <c r="J415" s="1176"/>
      <c r="K415" s="1177"/>
      <c r="L415" s="1175"/>
      <c r="M415" s="1176"/>
      <c r="N415" s="1177"/>
      <c r="O415" s="1178"/>
      <c r="P415" s="1179"/>
      <c r="Q415" s="1179"/>
      <c r="R415" s="1179"/>
      <c r="S415" s="1179"/>
      <c r="T415" s="1180"/>
      <c r="U415" s="1178"/>
      <c r="V415" s="1179"/>
      <c r="W415" s="1179"/>
      <c r="X415" s="1179"/>
      <c r="Y415" s="1179"/>
      <c r="Z415" s="1179"/>
      <c r="AA415" s="1180"/>
      <c r="AB415" s="1182"/>
      <c r="AC415" s="1183"/>
      <c r="AD415" s="1183"/>
      <c r="AE415" s="1183"/>
      <c r="AF415" s="1183"/>
      <c r="AG415" s="1184"/>
      <c r="AH415" s="373"/>
      <c r="AI415" s="556"/>
      <c r="AJ415" s="557"/>
      <c r="AK415" s="556"/>
      <c r="AL415" s="556">
        <f t="shared" si="3"/>
        <v>0</v>
      </c>
      <c r="AM415" s="556">
        <f t="shared" si="4"/>
        <v>0</v>
      </c>
    </row>
    <row r="416" spans="1:39" ht="2.25" customHeight="1" x14ac:dyDescent="0.2">
      <c r="F416" s="1165"/>
      <c r="G416" s="1165"/>
      <c r="H416" s="1165"/>
      <c r="I416" s="1165"/>
      <c r="J416" s="1165"/>
      <c r="K416" s="1165"/>
      <c r="L416" s="1165"/>
      <c r="M416" s="1165"/>
      <c r="N416" s="1165"/>
      <c r="O416" s="1165"/>
      <c r="P416" s="1165"/>
      <c r="Q416" s="1165"/>
      <c r="R416" s="1165"/>
      <c r="S416" s="1165"/>
      <c r="T416" s="1165"/>
      <c r="U416" s="1165"/>
      <c r="V416" s="1165"/>
      <c r="W416" s="1165"/>
      <c r="X416" s="1165"/>
      <c r="Y416" s="1165"/>
      <c r="Z416" s="1165"/>
      <c r="AA416" s="1165"/>
      <c r="AB416" s="9"/>
      <c r="AC416" s="9"/>
      <c r="AD416" s="9"/>
      <c r="AE416" s="9"/>
      <c r="AH416" s="373"/>
      <c r="AI416" s="558"/>
      <c r="AJ416" s="557"/>
      <c r="AK416" s="556"/>
      <c r="AL416" s="556"/>
      <c r="AM416" s="556"/>
    </row>
    <row r="417" spans="1:69" ht="15" customHeight="1" x14ac:dyDescent="0.2">
      <c r="A417" s="560">
        <f>IF(AE377="No", 1, IF(AD417="No", 1,2))</f>
        <v>2</v>
      </c>
      <c r="B417" s="333">
        <f>COUNTIF(AB385:AG413, "particulate")</f>
        <v>0</v>
      </c>
      <c r="C417" s="114" t="s">
        <v>585</v>
      </c>
      <c r="D417" s="182"/>
      <c r="E417" s="114" t="s">
        <v>182</v>
      </c>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745"/>
      <c r="AE417" s="770"/>
      <c r="AF417" s="106" t="s">
        <v>697</v>
      </c>
      <c r="AG417" s="74"/>
      <c r="AH417" s="409"/>
      <c r="AI417" s="558"/>
      <c r="AJ417" s="558">
        <f>IF(AE377="No",1,IF(AD417&gt;"N", IF(B417&gt;0, IF(AD417="Yes",1,3),1),0))</f>
        <v>0</v>
      </c>
      <c r="AK417" s="556">
        <f>IF(AF125="X", IF(AJ417=1,2,1),0)</f>
        <v>0</v>
      </c>
      <c r="AL417" s="556"/>
      <c r="AM417" s="556"/>
      <c r="AO417" s="341"/>
      <c r="AP417" s="341"/>
      <c r="AQ417" s="341"/>
      <c r="AR417" s="341"/>
      <c r="AS417" s="341"/>
      <c r="AT417" s="341"/>
      <c r="AU417" s="341"/>
      <c r="AV417" s="341"/>
      <c r="AW417" s="341"/>
      <c r="AX417" s="341"/>
      <c r="AY417" s="341"/>
      <c r="AZ417" s="341"/>
      <c r="BA417" s="341"/>
      <c r="BB417" s="341"/>
      <c r="BC417" s="341"/>
      <c r="BD417" s="341"/>
      <c r="BE417" s="341"/>
      <c r="BF417" s="341"/>
      <c r="BG417" s="341"/>
      <c r="BH417" s="341"/>
      <c r="BI417" s="341"/>
      <c r="BJ417" s="341"/>
      <c r="BK417" s="341"/>
      <c r="BL417" s="341"/>
      <c r="BM417" s="341"/>
      <c r="BN417" s="341"/>
      <c r="BO417" s="341"/>
      <c r="BP417" s="341"/>
    </row>
    <row r="418" spans="1:69" ht="2.25" customHeight="1" x14ac:dyDescent="0.2">
      <c r="C418" s="211"/>
      <c r="D418" s="211"/>
      <c r="E418" s="64"/>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409"/>
      <c r="AI418" s="558"/>
      <c r="AJ418" s="557"/>
      <c r="AK418" s="556"/>
      <c r="AL418" s="556"/>
      <c r="AM418" s="556"/>
      <c r="AO418" s="341"/>
      <c r="AP418" s="341"/>
      <c r="AQ418" s="341"/>
      <c r="AR418" s="341"/>
      <c r="AS418" s="341"/>
      <c r="AT418" s="341"/>
      <c r="AU418" s="341"/>
      <c r="AV418" s="341"/>
      <c r="AW418" s="341"/>
      <c r="AX418" s="341"/>
      <c r="AY418" s="341"/>
      <c r="AZ418" s="341"/>
      <c r="BA418" s="341"/>
      <c r="BB418" s="341"/>
      <c r="BC418" s="341"/>
      <c r="BD418" s="341"/>
      <c r="BE418" s="341"/>
      <c r="BF418" s="341"/>
      <c r="BG418" s="341"/>
      <c r="BH418" s="341"/>
      <c r="BI418" s="341"/>
      <c r="BJ418" s="341"/>
      <c r="BK418" s="341"/>
      <c r="BL418" s="341"/>
      <c r="BM418" s="341"/>
      <c r="BN418" s="341"/>
      <c r="BO418" s="341"/>
      <c r="BP418" s="341"/>
    </row>
    <row r="419" spans="1:69" ht="15.75" customHeight="1" x14ac:dyDescent="0.2">
      <c r="A419" s="560">
        <f>IF(AE377="No", 2, IF(AE377="Yes", IF(AD417="Yes",1,IF(AD417="No",2,0)),0))</f>
        <v>0</v>
      </c>
      <c r="C419" s="114" t="s">
        <v>172</v>
      </c>
      <c r="D419" s="182"/>
      <c r="E419" s="114"/>
      <c r="F419" s="113"/>
      <c r="G419" s="113"/>
      <c r="H419" s="113"/>
      <c r="I419" s="113"/>
      <c r="J419" s="113"/>
      <c r="K419" s="113"/>
      <c r="L419" s="113"/>
      <c r="M419" s="113"/>
      <c r="N419" s="113"/>
      <c r="O419" s="113"/>
      <c r="P419" s="113"/>
      <c r="Q419" s="26"/>
      <c r="R419" s="113"/>
      <c r="S419" s="113"/>
      <c r="T419" s="113"/>
      <c r="U419" s="113"/>
      <c r="V419" s="113"/>
      <c r="W419" s="113"/>
      <c r="X419" s="113"/>
      <c r="Y419" s="113"/>
      <c r="Z419" s="113"/>
      <c r="AA419" s="113"/>
      <c r="AB419" s="113"/>
      <c r="AC419" s="113"/>
      <c r="AD419" s="745"/>
      <c r="AE419" s="770"/>
      <c r="AF419" s="106" t="s">
        <v>697</v>
      </c>
      <c r="AG419" s="74"/>
      <c r="AH419" s="373"/>
      <c r="AI419" s="558"/>
      <c r="AJ419" s="558">
        <f>IF(AE377="No", 1,IF(AD417="No", 1, IF(AD419&gt;="N",1,0)))</f>
        <v>0</v>
      </c>
      <c r="AK419" s="556">
        <f>IF(AF125="X", IF(AJ419=0,1,2),0)</f>
        <v>0</v>
      </c>
      <c r="AL419" s="556"/>
      <c r="AM419" s="556"/>
      <c r="AO419" s="341"/>
      <c r="AP419" s="341"/>
      <c r="AQ419" s="341"/>
      <c r="AR419" s="341"/>
      <c r="AS419" s="341"/>
      <c r="AT419" s="341"/>
      <c r="AU419" s="341"/>
      <c r="AV419" s="341"/>
      <c r="AW419" s="341"/>
      <c r="AX419" s="341"/>
      <c r="AY419" s="341"/>
      <c r="AZ419" s="341"/>
      <c r="BA419" s="341"/>
      <c r="BB419" s="341"/>
      <c r="BC419" s="341"/>
      <c r="BD419" s="341"/>
      <c r="BE419" s="341"/>
      <c r="BF419" s="341"/>
      <c r="BG419" s="341"/>
      <c r="BH419" s="341"/>
      <c r="BI419" s="341"/>
      <c r="BJ419" s="341"/>
      <c r="BK419" s="341"/>
      <c r="BL419" s="341"/>
      <c r="BM419" s="341"/>
      <c r="BN419" s="341"/>
      <c r="BO419" s="341"/>
      <c r="BP419" s="341"/>
    </row>
    <row r="420" spans="1:69" ht="12" customHeight="1" x14ac:dyDescent="0.2">
      <c r="C420" s="114"/>
      <c r="D420" s="114"/>
      <c r="E420" s="114" t="s">
        <v>173</v>
      </c>
      <c r="F420" s="79"/>
      <c r="G420" s="46"/>
      <c r="H420" s="271"/>
      <c r="I420" s="271"/>
      <c r="J420" s="79"/>
      <c r="K420" s="114"/>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74"/>
      <c r="AH420" s="373"/>
      <c r="AI420" s="558"/>
      <c r="AJ420" s="557"/>
      <c r="AK420" s="556"/>
      <c r="AL420" s="556"/>
      <c r="AM420" s="556"/>
      <c r="AO420" s="341"/>
      <c r="AP420" s="341"/>
      <c r="AQ420" s="341"/>
      <c r="AR420" s="341"/>
      <c r="AS420" s="341"/>
      <c r="AT420" s="341"/>
      <c r="AU420" s="341"/>
      <c r="AV420" s="341"/>
      <c r="AW420" s="341"/>
      <c r="AX420" s="341"/>
      <c r="AY420" s="341"/>
      <c r="AZ420" s="341"/>
      <c r="BA420" s="341"/>
      <c r="BB420" s="341"/>
      <c r="BC420" s="341"/>
      <c r="BD420" s="341"/>
      <c r="BE420" s="341"/>
      <c r="BF420" s="341"/>
      <c r="BG420" s="341"/>
      <c r="BH420" s="341"/>
      <c r="BI420" s="341"/>
      <c r="BJ420" s="341"/>
      <c r="BK420" s="341"/>
      <c r="BL420" s="341"/>
      <c r="BM420" s="341"/>
      <c r="BN420" s="341"/>
      <c r="BO420" s="341"/>
      <c r="BP420" s="341"/>
    </row>
    <row r="421" spans="1:69" ht="12.75" customHeight="1" x14ac:dyDescent="0.2">
      <c r="C421" s="114"/>
      <c r="D421" s="182"/>
      <c r="E421" s="215"/>
      <c r="F421" s="270" t="s">
        <v>3</v>
      </c>
      <c r="G421" s="1181" t="s">
        <v>1080</v>
      </c>
      <c r="H421" s="1181"/>
      <c r="I421" s="1181"/>
      <c r="J421" s="1181"/>
      <c r="K421" s="1181"/>
      <c r="L421" s="1181"/>
      <c r="M421" s="1181"/>
      <c r="N421" s="1181"/>
      <c r="O421" s="1181"/>
      <c r="P421" s="1181"/>
      <c r="Q421" s="1181"/>
      <c r="R421" s="1181"/>
      <c r="S421" s="1181"/>
      <c r="T421" s="1181"/>
      <c r="U421" s="1181"/>
      <c r="V421" s="1181"/>
      <c r="W421" s="1181"/>
      <c r="X421" s="113"/>
      <c r="Y421" s="113"/>
      <c r="Z421" s="113"/>
      <c r="AA421" s="113"/>
      <c r="AB421" s="113"/>
      <c r="AC421" s="113"/>
      <c r="AD421" s="113"/>
      <c r="AE421" s="113"/>
      <c r="AF421" s="113"/>
      <c r="AG421" s="113"/>
      <c r="AH421" s="373"/>
      <c r="AI421" s="558"/>
      <c r="AJ421" s="557"/>
      <c r="AK421" s="556"/>
      <c r="AL421" s="556"/>
      <c r="AM421" s="556"/>
      <c r="AO421" s="341"/>
      <c r="AP421" s="341"/>
      <c r="AQ421" s="341"/>
      <c r="AR421" s="341"/>
      <c r="AS421" s="341"/>
      <c r="AT421" s="341"/>
      <c r="AU421" s="341"/>
      <c r="AV421" s="341"/>
      <c r="AW421" s="341"/>
      <c r="AX421" s="341"/>
      <c r="AY421" s="341"/>
      <c r="AZ421" s="341"/>
      <c r="BA421" s="341"/>
      <c r="BB421" s="341"/>
      <c r="BC421" s="341"/>
      <c r="BD421" s="341"/>
      <c r="BE421" s="341"/>
      <c r="BF421" s="341"/>
      <c r="BG421" s="341"/>
      <c r="BH421" s="341"/>
      <c r="BI421" s="341"/>
      <c r="BJ421" s="341"/>
      <c r="BK421" s="341"/>
      <c r="BL421" s="341"/>
      <c r="BM421" s="341"/>
      <c r="BN421" s="341"/>
      <c r="BO421" s="341"/>
      <c r="BP421" s="341"/>
    </row>
    <row r="422" spans="1:69" ht="24" customHeight="1" x14ac:dyDescent="0.2">
      <c r="C422" s="114"/>
      <c r="D422" s="182"/>
      <c r="E422" s="215"/>
      <c r="F422" s="793"/>
      <c r="G422" s="791"/>
      <c r="H422" s="791"/>
      <c r="I422" s="791"/>
      <c r="J422" s="791"/>
      <c r="K422" s="791"/>
      <c r="L422" s="791"/>
      <c r="M422" s="791"/>
      <c r="N422" s="791"/>
      <c r="O422" s="791"/>
      <c r="P422" s="791"/>
      <c r="Q422" s="791"/>
      <c r="R422" s="791"/>
      <c r="S422" s="791"/>
      <c r="T422" s="791"/>
      <c r="U422" s="791"/>
      <c r="V422" s="791"/>
      <c r="W422" s="791"/>
      <c r="X422" s="791"/>
      <c r="Y422" s="791"/>
      <c r="Z422" s="791"/>
      <c r="AA422" s="791"/>
      <c r="AB422" s="791"/>
      <c r="AC422" s="791"/>
      <c r="AD422" s="791"/>
      <c r="AE422" s="791"/>
      <c r="AF422" s="792"/>
      <c r="AG422" s="113"/>
      <c r="AH422" s="373"/>
      <c r="AI422" s="558"/>
      <c r="AJ422" s="557"/>
      <c r="AK422" s="556"/>
      <c r="AL422" s="556"/>
      <c r="AM422" s="556"/>
      <c r="AO422" s="341"/>
      <c r="AP422" s="341"/>
      <c r="AQ422" s="341"/>
      <c r="AR422" s="341"/>
      <c r="AS422" s="341"/>
      <c r="AT422" s="341"/>
      <c r="AU422" s="341"/>
      <c r="AV422" s="341"/>
      <c r="AW422" s="341"/>
      <c r="AX422" s="341"/>
      <c r="AY422" s="341"/>
      <c r="AZ422" s="341"/>
      <c r="BA422" s="341"/>
      <c r="BB422" s="341"/>
      <c r="BC422" s="341"/>
      <c r="BD422" s="341"/>
      <c r="BE422" s="341"/>
      <c r="BF422" s="341"/>
      <c r="BG422" s="341"/>
      <c r="BH422" s="341"/>
      <c r="BI422" s="341"/>
      <c r="BJ422" s="341"/>
      <c r="BK422" s="341"/>
      <c r="BL422" s="341"/>
      <c r="BM422" s="341"/>
      <c r="BN422" s="341"/>
      <c r="BO422" s="341"/>
      <c r="BP422" s="341"/>
    </row>
    <row r="423" spans="1:69" ht="3" customHeight="1" x14ac:dyDescent="0.2">
      <c r="V423" s="8"/>
      <c r="W423" s="8"/>
      <c r="X423" s="8"/>
      <c r="Y423" s="8"/>
      <c r="Z423" s="8"/>
      <c r="AA423" s="8"/>
      <c r="AB423" s="8"/>
      <c r="AC423" s="8"/>
      <c r="AD423" s="8"/>
      <c r="AE423" s="8"/>
      <c r="AF423" s="8"/>
      <c r="AG423" s="8"/>
      <c r="AH423" s="373"/>
      <c r="AI423" s="558"/>
      <c r="AJ423" s="557"/>
      <c r="AK423" s="556"/>
      <c r="AL423" s="556"/>
      <c r="AM423" s="556"/>
      <c r="AO423" s="341"/>
      <c r="AP423" s="341"/>
      <c r="AQ423" s="341"/>
      <c r="AR423" s="341"/>
      <c r="AS423" s="341"/>
      <c r="AT423" s="341"/>
      <c r="AU423" s="341"/>
      <c r="AV423" s="341"/>
      <c r="AW423" s="341"/>
      <c r="AX423" s="341"/>
      <c r="AY423" s="341"/>
      <c r="AZ423" s="341"/>
      <c r="BA423" s="341"/>
      <c r="BB423" s="341"/>
      <c r="BC423" s="341"/>
      <c r="BD423" s="341"/>
      <c r="BE423" s="341"/>
      <c r="BF423" s="341"/>
      <c r="BG423" s="341"/>
      <c r="BH423" s="341"/>
      <c r="BI423" s="341"/>
      <c r="BJ423" s="341"/>
      <c r="BK423" s="341"/>
      <c r="BL423" s="341"/>
      <c r="BM423" s="341"/>
      <c r="BN423" s="341"/>
      <c r="BO423" s="341"/>
      <c r="BP423" s="341"/>
    </row>
    <row r="424" spans="1:69" ht="14.25" customHeight="1" x14ac:dyDescent="0.2">
      <c r="A424" s="560">
        <f>IF(AE377="No", 1, IF(AD419="Yes", 1,2))</f>
        <v>2</v>
      </c>
      <c r="B424" s="335"/>
      <c r="C424" s="114" t="s">
        <v>586</v>
      </c>
      <c r="D424" s="182"/>
      <c r="E424" s="114" t="s">
        <v>1</v>
      </c>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745"/>
      <c r="AE424" s="770"/>
      <c r="AF424" s="106" t="s">
        <v>697</v>
      </c>
      <c r="AG424" s="74"/>
      <c r="AH424" s="373"/>
      <c r="AI424" s="558"/>
      <c r="AJ424" s="558">
        <f>IF(AE377="No", 1,IF(AD417="yes", IF(AD419&gt;="yes",1, IF(AD424&gt;="N",1,0)), IF(AD424&gt;="N",1,0)))</f>
        <v>0</v>
      </c>
      <c r="AK424" s="556">
        <f>IF(AF125="X", IF(AJ424=0,1,2),0)</f>
        <v>0</v>
      </c>
      <c r="AL424" s="556"/>
      <c r="AM424" s="556"/>
      <c r="AO424" s="341"/>
      <c r="AP424" s="341"/>
      <c r="AQ424" s="341"/>
      <c r="AR424" s="341"/>
      <c r="AS424" s="341"/>
      <c r="AT424" s="341"/>
      <c r="AU424" s="341"/>
      <c r="AV424" s="341"/>
      <c r="AW424" s="341"/>
      <c r="AX424" s="341"/>
      <c r="AY424" s="341"/>
      <c r="AZ424" s="341"/>
      <c r="BA424" s="341"/>
      <c r="BB424" s="341"/>
      <c r="BC424" s="341"/>
      <c r="BD424" s="341"/>
      <c r="BE424" s="341"/>
      <c r="BF424" s="341"/>
      <c r="BG424" s="341"/>
      <c r="BH424" s="341"/>
      <c r="BI424" s="341"/>
      <c r="BJ424" s="341"/>
      <c r="BK424" s="341"/>
      <c r="BL424" s="341"/>
      <c r="BM424" s="341"/>
      <c r="BN424" s="341"/>
      <c r="BO424" s="341"/>
      <c r="BP424" s="341"/>
    </row>
    <row r="425" spans="1:69" ht="3.75" customHeight="1" x14ac:dyDescent="0.2">
      <c r="A425" s="562"/>
      <c r="B425" s="335"/>
      <c r="C425" s="114"/>
      <c r="D425" s="182"/>
      <c r="E425" s="26"/>
      <c r="F425" s="113"/>
      <c r="G425" s="113"/>
      <c r="H425" s="113"/>
      <c r="I425" s="113"/>
      <c r="J425" s="113"/>
      <c r="K425" s="113"/>
      <c r="L425" s="113"/>
      <c r="M425" s="113"/>
      <c r="N425" s="113"/>
      <c r="O425" s="113"/>
      <c r="P425" s="113"/>
      <c r="Q425" s="113"/>
      <c r="R425" s="113"/>
      <c r="S425" s="113"/>
      <c r="T425" s="113"/>
      <c r="U425" s="113"/>
      <c r="V425" s="222"/>
      <c r="W425" s="222"/>
      <c r="X425" s="222"/>
      <c r="Y425" s="222"/>
      <c r="Z425" s="222"/>
      <c r="AA425" s="222"/>
      <c r="AB425" s="222"/>
      <c r="AC425" s="222"/>
      <c r="AD425" s="222"/>
      <c r="AE425" s="222"/>
      <c r="AF425" s="222"/>
      <c r="AG425" s="222"/>
      <c r="AH425" s="373"/>
      <c r="AI425" s="558"/>
      <c r="AJ425" s="557"/>
      <c r="AK425" s="556"/>
      <c r="AL425" s="556"/>
      <c r="AM425" s="556"/>
      <c r="AO425" s="341"/>
      <c r="AP425" s="341"/>
      <c r="AQ425" s="341"/>
      <c r="AR425" s="341"/>
      <c r="AS425" s="341"/>
      <c r="AT425" s="341"/>
      <c r="AU425" s="341"/>
      <c r="AV425" s="341"/>
      <c r="AW425" s="341"/>
      <c r="AX425" s="341"/>
      <c r="AY425" s="341"/>
      <c r="AZ425" s="341"/>
      <c r="BA425" s="341"/>
      <c r="BB425" s="341"/>
      <c r="BC425" s="341"/>
      <c r="BD425" s="341"/>
      <c r="BE425" s="341"/>
      <c r="BF425" s="341"/>
      <c r="BG425" s="341"/>
      <c r="BH425" s="341"/>
      <c r="BI425" s="341"/>
      <c r="BJ425" s="341"/>
      <c r="BK425" s="341"/>
      <c r="BL425" s="341"/>
      <c r="BM425" s="341"/>
      <c r="BN425" s="341"/>
      <c r="BO425" s="341"/>
      <c r="BP425" s="341"/>
    </row>
    <row r="426" spans="1:69" ht="13.5" customHeight="1" x14ac:dyDescent="0.2">
      <c r="A426" s="572"/>
      <c r="B426" s="349" t="s">
        <v>98</v>
      </c>
      <c r="C426" s="76"/>
      <c r="D426" s="76"/>
      <c r="E426" s="40"/>
      <c r="F426" s="183" t="str">
        <f>IF(AD424="Yes", "IF YES,", IF(AD424="No", "IF NO,",""))</f>
        <v/>
      </c>
      <c r="G426" s="184" t="str">
        <f>IF(AD424="Yes",B426,IF(AD424="No",B427,""))</f>
        <v/>
      </c>
      <c r="H426" s="76"/>
      <c r="I426" s="76"/>
      <c r="J426" s="76"/>
      <c r="K426" s="76"/>
      <c r="L426" s="76"/>
      <c r="M426" s="76"/>
      <c r="N426" s="76"/>
      <c r="O426" s="76"/>
      <c r="P426" s="76"/>
      <c r="Q426" s="76"/>
      <c r="R426" s="76"/>
      <c r="S426" s="76"/>
      <c r="T426" s="76"/>
      <c r="U426" s="76"/>
      <c r="V426" s="76"/>
      <c r="W426" s="76"/>
      <c r="X426" s="76"/>
      <c r="Y426" s="76"/>
      <c r="Z426" s="76"/>
      <c r="AA426" s="76"/>
      <c r="AB426" s="76"/>
      <c r="AC426" s="76"/>
      <c r="AD426" s="745"/>
      <c r="AE426" s="770"/>
      <c r="AF426" s="106" t="s">
        <v>697</v>
      </c>
      <c r="AG426" s="76"/>
      <c r="AH426" s="373"/>
      <c r="AI426" s="558"/>
      <c r="AK426" s="556"/>
      <c r="AL426" s="556"/>
      <c r="AM426" s="556"/>
      <c r="AO426" s="341"/>
      <c r="AP426" s="341"/>
      <c r="AQ426" s="341"/>
      <c r="AR426" s="341"/>
      <c r="AS426" s="341"/>
      <c r="AT426" s="341"/>
      <c r="AU426" s="341"/>
      <c r="AV426" s="341"/>
      <c r="AW426" s="341"/>
      <c r="AX426" s="341"/>
      <c r="AY426" s="341"/>
      <c r="AZ426" s="341"/>
      <c r="BA426" s="341"/>
      <c r="BB426" s="341"/>
      <c r="BC426" s="341"/>
      <c r="BD426" s="341"/>
      <c r="BE426" s="341"/>
      <c r="BF426" s="341"/>
      <c r="BG426" s="341"/>
      <c r="BH426" s="341"/>
      <c r="BI426" s="341"/>
      <c r="BJ426" s="341"/>
      <c r="BK426" s="341"/>
      <c r="BL426" s="341"/>
      <c r="BM426" s="341"/>
      <c r="BN426" s="341"/>
      <c r="BO426" s="341"/>
      <c r="BP426" s="341"/>
    </row>
    <row r="427" spans="1:69" ht="15.75" customHeight="1" x14ac:dyDescent="0.2">
      <c r="A427" s="572" t="s">
        <v>283</v>
      </c>
      <c r="B427" s="349" t="s">
        <v>99</v>
      </c>
      <c r="C427" s="76"/>
      <c r="D427" s="76"/>
      <c r="E427" s="111" t="str">
        <f>IF(AD424="Yes", IF(AD426="Yes", A427, IF(AD426="No", B427,"")),"")</f>
        <v/>
      </c>
      <c r="F427" s="183"/>
      <c r="G427" s="184"/>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c r="AH427" s="373"/>
      <c r="AI427" s="558"/>
      <c r="AJ427" s="557"/>
      <c r="AK427" s="556"/>
      <c r="AL427" s="556"/>
      <c r="AM427" s="556"/>
      <c r="AO427" s="341"/>
      <c r="AP427" s="341"/>
      <c r="AQ427" s="341"/>
      <c r="AR427" s="341"/>
      <c r="AS427" s="341"/>
      <c r="AT427" s="341"/>
      <c r="AU427" s="341"/>
      <c r="AV427" s="341"/>
      <c r="AW427" s="341"/>
      <c r="AX427" s="341"/>
      <c r="AY427" s="341"/>
      <c r="AZ427" s="341"/>
      <c r="BA427" s="341"/>
      <c r="BB427" s="341"/>
      <c r="BC427" s="341"/>
      <c r="BD427" s="341"/>
      <c r="BE427" s="341"/>
      <c r="BF427" s="341"/>
      <c r="BG427" s="341"/>
      <c r="BH427" s="341"/>
      <c r="BI427" s="341"/>
      <c r="BJ427" s="341"/>
      <c r="BK427" s="341"/>
      <c r="BL427" s="341"/>
      <c r="BM427" s="341"/>
      <c r="BN427" s="341"/>
      <c r="BO427" s="341"/>
      <c r="BP427" s="341"/>
    </row>
    <row r="428" spans="1:69" ht="29.25" customHeight="1" x14ac:dyDescent="0.2">
      <c r="A428" s="572"/>
      <c r="B428" s="349"/>
      <c r="C428" s="76"/>
      <c r="D428" s="76"/>
      <c r="E428" s="76"/>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63"/>
      <c r="AF428" s="1164"/>
      <c r="AG428" s="76"/>
      <c r="AH428" s="373"/>
      <c r="AI428" s="558"/>
      <c r="AJ428" s="557">
        <f>IF(AE377="No", 1, IF(AE377="Yes",IF(AD424&gt;"a",IF(COUNTBLANK(F428)=1,0,1),1),0))</f>
        <v>0</v>
      </c>
      <c r="AK428" s="556">
        <f>IF(AF125="X", IF(AJ428=0,1,2),0)</f>
        <v>0</v>
      </c>
      <c r="AL428" s="556"/>
      <c r="AM428" s="556"/>
      <c r="AO428" s="341"/>
      <c r="AP428" s="341"/>
      <c r="AQ428" s="341"/>
      <c r="AR428" s="341"/>
      <c r="AS428" s="341"/>
      <c r="AT428" s="341"/>
      <c r="AU428" s="341"/>
      <c r="AV428" s="341"/>
      <c r="AW428" s="341"/>
      <c r="AX428" s="341"/>
      <c r="AY428" s="341"/>
      <c r="AZ428" s="341"/>
      <c r="BA428" s="341"/>
      <c r="BB428" s="341"/>
      <c r="BC428" s="341"/>
      <c r="BD428" s="341"/>
      <c r="BE428" s="341"/>
      <c r="BF428" s="341"/>
      <c r="BG428" s="341"/>
      <c r="BH428" s="341"/>
      <c r="BI428" s="341"/>
      <c r="BJ428" s="341"/>
      <c r="BK428" s="341"/>
      <c r="BL428" s="341"/>
      <c r="BM428" s="341"/>
      <c r="BN428" s="341"/>
      <c r="BO428" s="341"/>
      <c r="BP428" s="341"/>
    </row>
    <row r="429" spans="1:69" ht="2.25" customHeight="1" x14ac:dyDescent="0.2">
      <c r="A429" s="562"/>
      <c r="B429" s="337"/>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462"/>
      <c r="AI429" s="558"/>
      <c r="AJ429" s="557"/>
      <c r="AK429" s="556"/>
      <c r="AL429" s="556"/>
      <c r="AM429" s="556"/>
      <c r="AN429" s="341"/>
      <c r="AO429" s="341"/>
      <c r="AP429" s="341"/>
      <c r="AQ429" s="341"/>
      <c r="AR429" s="341"/>
      <c r="AS429" s="341"/>
      <c r="AT429" s="341"/>
      <c r="AU429" s="341"/>
      <c r="AV429" s="341"/>
      <c r="AW429" s="341"/>
      <c r="AX429" s="341"/>
      <c r="AY429" s="341"/>
      <c r="AZ429" s="341"/>
      <c r="BA429" s="341"/>
      <c r="BB429" s="341"/>
      <c r="BC429" s="341"/>
      <c r="BD429" s="341"/>
      <c r="BE429" s="341"/>
      <c r="BF429" s="341"/>
      <c r="BG429" s="341"/>
      <c r="BH429" s="341"/>
      <c r="BI429" s="341"/>
      <c r="BJ429" s="341"/>
      <c r="BK429" s="341"/>
      <c r="BL429" s="341"/>
      <c r="BM429" s="341"/>
      <c r="BN429" s="341"/>
      <c r="BO429" s="341"/>
      <c r="BP429" s="341"/>
    </row>
    <row r="430" spans="1:69" ht="15" customHeight="1" x14ac:dyDescent="0.2">
      <c r="C430" s="10" t="s">
        <v>508</v>
      </c>
      <c r="D430" s="10"/>
      <c r="E430" s="10"/>
      <c r="AH430" s="253" t="s">
        <v>679</v>
      </c>
      <c r="AI430" s="558"/>
      <c r="AJ430" s="557"/>
      <c r="AK430" s="556"/>
      <c r="AL430" s="556"/>
      <c r="AM430" s="556"/>
      <c r="AN430" s="341"/>
      <c r="AO430" s="341"/>
      <c r="AP430" s="341"/>
      <c r="AQ430" s="341"/>
      <c r="AR430" s="341"/>
      <c r="AS430" s="341"/>
      <c r="AT430" s="341"/>
      <c r="AU430" s="341"/>
      <c r="AV430" s="341"/>
      <c r="AW430" s="341"/>
      <c r="AX430" s="341"/>
      <c r="AY430" s="341"/>
      <c r="AZ430" s="341"/>
      <c r="BA430" s="341"/>
      <c r="BB430" s="341"/>
      <c r="BC430" s="341"/>
      <c r="BD430" s="341"/>
      <c r="BE430" s="341"/>
      <c r="BF430" s="341"/>
      <c r="BG430" s="341"/>
      <c r="BH430" s="341"/>
      <c r="BI430" s="341"/>
      <c r="BJ430" s="341"/>
      <c r="BK430" s="341"/>
      <c r="BL430" s="341"/>
      <c r="BM430" s="341"/>
      <c r="BN430" s="341"/>
      <c r="BO430" s="341"/>
      <c r="BP430" s="341"/>
      <c r="BQ430" s="252"/>
    </row>
    <row r="431" spans="1:69" ht="10.9" customHeight="1" x14ac:dyDescent="0.2">
      <c r="C431" s="687" t="s">
        <v>859</v>
      </c>
      <c r="D431" s="688"/>
      <c r="E431" s="688"/>
      <c r="F431" s="688"/>
      <c r="G431" s="688"/>
      <c r="H431" s="688"/>
      <c r="I431" s="688"/>
      <c r="J431" s="688"/>
      <c r="K431" s="688"/>
      <c r="L431" s="689"/>
      <c r="M431" s="1248" t="s">
        <v>860</v>
      </c>
      <c r="N431" s="1561"/>
      <c r="O431" s="1562"/>
      <c r="P431" s="687" t="s">
        <v>200</v>
      </c>
      <c r="Q431" s="688"/>
      <c r="R431" s="688"/>
      <c r="S431" s="688"/>
      <c r="T431" s="688"/>
      <c r="U431" s="688"/>
      <c r="V431" s="688"/>
      <c r="W431" s="689"/>
      <c r="X431" s="687" t="s">
        <v>201</v>
      </c>
      <c r="Y431" s="688"/>
      <c r="Z431" s="688"/>
      <c r="AA431" s="688"/>
      <c r="AB431" s="688"/>
      <c r="AC431" s="688"/>
      <c r="AD431" s="688"/>
      <c r="AE431" s="688"/>
      <c r="AF431" s="688"/>
      <c r="AG431" s="689"/>
      <c r="AH431" s="222"/>
      <c r="AI431" s="558"/>
      <c r="AJ431" s="557"/>
      <c r="AK431" s="556"/>
      <c r="AL431" s="556"/>
      <c r="BQ431" s="252"/>
    </row>
    <row r="432" spans="1:69" ht="14.45" customHeight="1" x14ac:dyDescent="0.2">
      <c r="C432" s="276"/>
      <c r="D432" s="277"/>
      <c r="E432" s="277"/>
      <c r="F432" s="277"/>
      <c r="G432" s="277"/>
      <c r="H432" s="277"/>
      <c r="I432" s="277"/>
      <c r="J432" s="277"/>
      <c r="K432" s="277"/>
      <c r="L432" s="278"/>
      <c r="M432" s="978" t="s">
        <v>202</v>
      </c>
      <c r="N432" s="984"/>
      <c r="O432" s="985"/>
      <c r="P432" s="1635" t="s">
        <v>203</v>
      </c>
      <c r="Q432" s="1636"/>
      <c r="R432" s="1636"/>
      <c r="S432" s="1636"/>
      <c r="T432" s="1636"/>
      <c r="U432" s="1636"/>
      <c r="V432" s="1636"/>
      <c r="W432" s="1637"/>
      <c r="X432" s="1635" t="s">
        <v>204</v>
      </c>
      <c r="Y432" s="1636"/>
      <c r="Z432" s="1636"/>
      <c r="AA432" s="1636"/>
      <c r="AB432" s="1636"/>
      <c r="AC432" s="1636"/>
      <c r="AD432" s="1636"/>
      <c r="AE432" s="1636"/>
      <c r="AF432" s="1636"/>
      <c r="AG432" s="1637"/>
      <c r="AH432" s="222"/>
      <c r="AI432" s="558">
        <f>IF(M452&gt;="Yes", IF(COUNTA(P452)&gt;0,1,0),IF(M452="No",1,0))+IF(M453&gt;="Yes", IF(COUNTA(P453)&gt;0,1,0),IF(M453="No",1,0))+IF(M455&gt;="Yes", IF(COUNTA(P455)&gt;0,1,0),IF(M455="No",1,0))+IF(M456&gt;="Yes", IF(COUNTA(P456)&gt;0,1,0),IF(M456="No",1,0))+IF(M457&gt;="Yes", IF(COUNTA(P457)&gt;0,1,0),IF(M457="No",1,0))+IF(M458&gt;="Yes", IF(COUNTA(P458)&gt;0,1,0),IF(M458="No",1,0))+IF(M461&gt;="Yes", IF(COUNTA(P461)&gt;0,1,0),IF(M461="No",1,0))+IF(M464&gt;="Yes", IF(COUNTA(P464)&gt;0,1,0),IF(M464="No",1,0))+IF(M468&gt;="Yes", IF(COUNTA(P468)&gt;0,1,0),IF(M468="No",1,0))+IF(M472&gt;="Yes", IF(COUNTA(P472)&gt;0,1,0),IF(M472="No",1,0))+IF(M475&gt;="Yes", IF(COUNTA(P475)&gt;0,1,0),IF(M475="No",1,0))</f>
        <v>0</v>
      </c>
      <c r="AJ432" s="557"/>
      <c r="AK432" s="556"/>
      <c r="AL432" s="556"/>
      <c r="BQ432" s="252"/>
    </row>
    <row r="433" spans="1:69" ht="15" customHeight="1" x14ac:dyDescent="0.2">
      <c r="A433" s="554">
        <f>IF(M433="Yes",1,0)</f>
        <v>0</v>
      </c>
      <c r="C433" s="748" t="s">
        <v>70</v>
      </c>
      <c r="D433" s="749"/>
      <c r="E433" s="749"/>
      <c r="F433" s="750"/>
      <c r="G433" s="1159" t="s">
        <v>661</v>
      </c>
      <c r="H433" s="1160"/>
      <c r="I433" s="1160"/>
      <c r="J433" s="1160"/>
      <c r="K433" s="1160"/>
      <c r="L433" s="1161"/>
      <c r="M433" s="745"/>
      <c r="N433" s="746"/>
      <c r="O433" s="770"/>
      <c r="P433" s="681"/>
      <c r="Q433" s="682"/>
      <c r="R433" s="682"/>
      <c r="S433" s="682"/>
      <c r="T433" s="682"/>
      <c r="U433" s="682"/>
      <c r="V433" s="682"/>
      <c r="W433" s="683"/>
      <c r="X433" s="699"/>
      <c r="Y433" s="700"/>
      <c r="Z433" s="700"/>
      <c r="AA433" s="700"/>
      <c r="AB433" s="700"/>
      <c r="AC433" s="700"/>
      <c r="AD433" s="700"/>
      <c r="AE433" s="700"/>
      <c r="AF433" s="700"/>
      <c r="AG433" s="701"/>
      <c r="AH433" s="222"/>
      <c r="AI433" s="558">
        <f>IF(M433&gt;="Yes", IF(COUNTA(P433)&gt;0,1,0),IF(M433="No",1,0))+IF(M434&gt;="Yes", IF(COUNTA(P434)&gt;0,1,0),IF(M434="No",1,0))+IF(M435&gt;="Yes", IF(COUNTA(P435)&gt;0,1,0),IF(M435="No",1,0))+IF(M436&gt;="Yes", IF(COUNTA(P436)&gt;0,1,0),IF(M436="No",1,0))+IF(M437&gt;="Yes", IF(COUNTA(P437)&gt;0,1,0),IF(M437="No",1,0))+IF(M438&gt;="Yes", IF(COUNTA(P438)&gt;0,1,0),IF(M438="No",1,0))+IF(M439&gt;="Yes", IF(COUNTA(P439)&gt;0,1,0),IF(M439="No",1,0))+IF(M440&gt;="Yes", IF(COUNTA(P440)&gt;0,1,0),IF(M440="No",1,0))+IF(M441&gt;="Yes", IF(COUNTA(P441)&gt;0,1,0),IF(M441="No",1,0))+IF(M443&gt;="Yes", IF(COUNTA(P443)&gt;0,1,0),IF(M443="No",1,0))+IF(M446&gt;="Yes", IF(COUNTA(P446)&gt;0,1,0),IF(M446="No",1,0))+IF(M449&gt;="Yes", IF(COUNTA(P449)&gt;0,1,0),IF(M449="No",1,0))</f>
        <v>0</v>
      </c>
      <c r="AJ433" s="557">
        <f>IF(AI433+AI432=23,1,0)</f>
        <v>0</v>
      </c>
      <c r="AK433" s="556" t="b">
        <f>IF(AF125="X",IF(M433&gt;="Yes", IF(COUNTA(P433)&gt;0,1,2),IF(M433="No",1,2)))</f>
        <v>0</v>
      </c>
      <c r="AL433" s="556"/>
      <c r="BQ433" s="252"/>
    </row>
    <row r="434" spans="1:69" ht="15" customHeight="1" x14ac:dyDescent="0.2">
      <c r="A434" s="554">
        <f>IF(M434="Yes",1,0)</f>
        <v>0</v>
      </c>
      <c r="C434" s="754"/>
      <c r="D434" s="755"/>
      <c r="E434" s="755"/>
      <c r="F434" s="756"/>
      <c r="G434" s="660" t="s">
        <v>662</v>
      </c>
      <c r="H434" s="661"/>
      <c r="I434" s="661"/>
      <c r="J434" s="661"/>
      <c r="K434" s="661"/>
      <c r="L434" s="662"/>
      <c r="M434" s="745"/>
      <c r="N434" s="746"/>
      <c r="O434" s="770"/>
      <c r="P434" s="681"/>
      <c r="Q434" s="682"/>
      <c r="R434" s="682"/>
      <c r="S434" s="682"/>
      <c r="T434" s="682"/>
      <c r="U434" s="682"/>
      <c r="V434" s="682"/>
      <c r="W434" s="683"/>
      <c r="X434" s="699"/>
      <c r="Y434" s="700"/>
      <c r="Z434" s="700"/>
      <c r="AA434" s="700"/>
      <c r="AB434" s="700"/>
      <c r="AC434" s="700"/>
      <c r="AD434" s="700"/>
      <c r="AE434" s="700"/>
      <c r="AF434" s="700"/>
      <c r="AG434" s="701"/>
      <c r="AH434" s="222"/>
      <c r="AI434" s="558"/>
      <c r="AJ434" s="559"/>
      <c r="AK434" s="556" t="b">
        <f>IF(AF125="X",IF(M434&gt;="Yes", IF(COUNTA(P434)&gt;0,1,2),IF(M434="No",1,2)))</f>
        <v>0</v>
      </c>
      <c r="AL434" s="556"/>
      <c r="BQ434" s="252"/>
    </row>
    <row r="435" spans="1:69" ht="15" customHeight="1" x14ac:dyDescent="0.2">
      <c r="C435" s="1156" t="s">
        <v>660</v>
      </c>
      <c r="D435" s="1157"/>
      <c r="E435" s="1157"/>
      <c r="F435" s="1415"/>
      <c r="G435" s="660" t="s">
        <v>668</v>
      </c>
      <c r="H435" s="661"/>
      <c r="I435" s="661"/>
      <c r="J435" s="661"/>
      <c r="K435" s="661"/>
      <c r="L435" s="662"/>
      <c r="M435" s="745"/>
      <c r="N435" s="746"/>
      <c r="O435" s="770"/>
      <c r="P435" s="681"/>
      <c r="Q435" s="682"/>
      <c r="R435" s="682"/>
      <c r="S435" s="682"/>
      <c r="T435" s="682"/>
      <c r="U435" s="682"/>
      <c r="V435" s="682"/>
      <c r="W435" s="683"/>
      <c r="X435" s="699"/>
      <c r="Y435" s="700"/>
      <c r="Z435" s="700"/>
      <c r="AA435" s="700"/>
      <c r="AB435" s="700"/>
      <c r="AC435" s="700"/>
      <c r="AD435" s="700"/>
      <c r="AE435" s="700"/>
      <c r="AF435" s="700"/>
      <c r="AG435" s="701"/>
      <c r="AH435" s="222"/>
      <c r="AI435" s="558"/>
      <c r="AJ435" s="557"/>
      <c r="AK435" s="556" t="b">
        <f>IF(AF125="X",IF(M435&gt;="Yes", IF(COUNTA(P435)&gt;0,1,2),IF(M435="No",1,2)))</f>
        <v>0</v>
      </c>
      <c r="AL435" s="556"/>
    </row>
    <row r="436" spans="1:69" ht="15" customHeight="1" x14ac:dyDescent="0.2">
      <c r="C436" s="1218"/>
      <c r="D436" s="1219"/>
      <c r="E436" s="1219"/>
      <c r="F436" s="1220"/>
      <c r="G436" s="660" t="s">
        <v>211</v>
      </c>
      <c r="H436" s="661"/>
      <c r="I436" s="661"/>
      <c r="J436" s="661"/>
      <c r="K436" s="661"/>
      <c r="L436" s="662"/>
      <c r="M436" s="745"/>
      <c r="N436" s="746"/>
      <c r="O436" s="770"/>
      <c r="P436" s="681"/>
      <c r="Q436" s="682"/>
      <c r="R436" s="682"/>
      <c r="S436" s="682"/>
      <c r="T436" s="682"/>
      <c r="U436" s="682"/>
      <c r="V436" s="682"/>
      <c r="W436" s="683"/>
      <c r="X436" s="699"/>
      <c r="Y436" s="700"/>
      <c r="Z436" s="700"/>
      <c r="AA436" s="700"/>
      <c r="AB436" s="700"/>
      <c r="AC436" s="700"/>
      <c r="AD436" s="700"/>
      <c r="AE436" s="700"/>
      <c r="AF436" s="700"/>
      <c r="AG436" s="701"/>
      <c r="AH436" s="222"/>
      <c r="AI436" s="558"/>
      <c r="AJ436" s="557"/>
      <c r="AK436" s="556" t="b">
        <f>IF(AF125="X",IF(M436&gt;="Yes", IF(COUNTA(P436)&gt;0,1,2),IF(M436="No",1,2)))</f>
        <v>0</v>
      </c>
      <c r="AL436" s="556"/>
    </row>
    <row r="437" spans="1:69" ht="15" customHeight="1" x14ac:dyDescent="0.2">
      <c r="C437" s="748" t="s">
        <v>665</v>
      </c>
      <c r="D437" s="749"/>
      <c r="E437" s="749"/>
      <c r="F437" s="750"/>
      <c r="G437" s="1739" t="s">
        <v>664</v>
      </c>
      <c r="H437" s="1740"/>
      <c r="I437" s="1740"/>
      <c r="J437" s="1740"/>
      <c r="K437" s="1740"/>
      <c r="L437" s="1741"/>
      <c r="M437" s="745"/>
      <c r="N437" s="746"/>
      <c r="O437" s="770"/>
      <c r="P437" s="681"/>
      <c r="Q437" s="682"/>
      <c r="R437" s="682"/>
      <c r="S437" s="682"/>
      <c r="T437" s="682"/>
      <c r="U437" s="682"/>
      <c r="V437" s="682"/>
      <c r="W437" s="683"/>
      <c r="X437" s="699"/>
      <c r="Y437" s="700"/>
      <c r="Z437" s="700"/>
      <c r="AA437" s="700"/>
      <c r="AB437" s="700"/>
      <c r="AC437" s="700"/>
      <c r="AD437" s="700"/>
      <c r="AE437" s="700"/>
      <c r="AF437" s="700"/>
      <c r="AG437" s="701"/>
      <c r="AH437" s="222"/>
      <c r="AI437" s="558"/>
      <c r="AJ437" s="557"/>
      <c r="AK437" s="556" t="b">
        <f>IF(AF125="X",IF(M437&gt;="Yes", IF(COUNTA(P437)&gt;0,1,2),IF(M437="No",1,2)))</f>
        <v>0</v>
      </c>
      <c r="AL437" s="556"/>
    </row>
    <row r="438" spans="1:69" ht="15.75" customHeight="1" x14ac:dyDescent="0.2">
      <c r="C438" s="754"/>
      <c r="D438" s="755"/>
      <c r="E438" s="755"/>
      <c r="F438" s="756"/>
      <c r="G438" s="660" t="s">
        <v>666</v>
      </c>
      <c r="H438" s="661"/>
      <c r="I438" s="661"/>
      <c r="J438" s="661"/>
      <c r="K438" s="661"/>
      <c r="L438" s="662"/>
      <c r="M438" s="745"/>
      <c r="N438" s="746"/>
      <c r="O438" s="770"/>
      <c r="P438" s="681"/>
      <c r="Q438" s="682"/>
      <c r="R438" s="682"/>
      <c r="S438" s="682"/>
      <c r="T438" s="682"/>
      <c r="U438" s="682"/>
      <c r="V438" s="682"/>
      <c r="W438" s="683"/>
      <c r="X438" s="699"/>
      <c r="Y438" s="700"/>
      <c r="Z438" s="700"/>
      <c r="AA438" s="700"/>
      <c r="AB438" s="700"/>
      <c r="AC438" s="700"/>
      <c r="AD438" s="700"/>
      <c r="AE438" s="700"/>
      <c r="AF438" s="700"/>
      <c r="AG438" s="701"/>
      <c r="AH438" s="222"/>
      <c r="AI438" s="558"/>
      <c r="AJ438" s="557"/>
      <c r="AK438" s="556" t="b">
        <f>IF(AF125="X",IF(M438&gt;="Yes", IF(COUNTA(P438)&gt;0,1,2),IF(M438="No",1,2)))</f>
        <v>0</v>
      </c>
      <c r="AL438" s="556"/>
    </row>
    <row r="439" spans="1:69" ht="15.75" customHeight="1" x14ac:dyDescent="0.2">
      <c r="C439" s="748" t="s">
        <v>667</v>
      </c>
      <c r="D439" s="749"/>
      <c r="E439" s="749"/>
      <c r="F439" s="750"/>
      <c r="G439" s="660" t="s">
        <v>689</v>
      </c>
      <c r="H439" s="661"/>
      <c r="I439" s="661"/>
      <c r="J439" s="661"/>
      <c r="K439" s="661"/>
      <c r="L439" s="662"/>
      <c r="M439" s="745"/>
      <c r="N439" s="746"/>
      <c r="O439" s="770"/>
      <c r="P439" s="681"/>
      <c r="Q439" s="682"/>
      <c r="R439" s="682"/>
      <c r="S439" s="682"/>
      <c r="T439" s="682"/>
      <c r="U439" s="682"/>
      <c r="V439" s="682"/>
      <c r="W439" s="683"/>
      <c r="X439" s="699"/>
      <c r="Y439" s="700"/>
      <c r="Z439" s="700"/>
      <c r="AA439" s="700"/>
      <c r="AB439" s="700"/>
      <c r="AC439" s="700"/>
      <c r="AD439" s="700"/>
      <c r="AE439" s="700"/>
      <c r="AF439" s="700"/>
      <c r="AG439" s="701"/>
      <c r="AH439" s="222"/>
      <c r="AI439" s="558"/>
      <c r="AJ439" s="557"/>
      <c r="AK439" s="556" t="b">
        <f>IF(AF125="X",IF(M439&gt;="Yes", IF(COUNTA(P439)&gt;0,1,2),IF(M439="No",1,2)))</f>
        <v>0</v>
      </c>
      <c r="AL439" s="556"/>
    </row>
    <row r="440" spans="1:69" ht="15.75" customHeight="1" x14ac:dyDescent="0.2">
      <c r="C440" s="751"/>
      <c r="D440" s="752"/>
      <c r="E440" s="752"/>
      <c r="F440" s="753"/>
      <c r="G440" s="660" t="s">
        <v>659</v>
      </c>
      <c r="H440" s="661"/>
      <c r="I440" s="661"/>
      <c r="J440" s="661"/>
      <c r="K440" s="661"/>
      <c r="L440" s="662"/>
      <c r="M440" s="745"/>
      <c r="N440" s="746"/>
      <c r="O440" s="770"/>
      <c r="P440" s="681"/>
      <c r="Q440" s="682"/>
      <c r="R440" s="682"/>
      <c r="S440" s="682"/>
      <c r="T440" s="682"/>
      <c r="U440" s="682"/>
      <c r="V440" s="682"/>
      <c r="W440" s="683"/>
      <c r="X440" s="699"/>
      <c r="Y440" s="700"/>
      <c r="Z440" s="700"/>
      <c r="AA440" s="700"/>
      <c r="AB440" s="700"/>
      <c r="AC440" s="700"/>
      <c r="AD440" s="700"/>
      <c r="AE440" s="700"/>
      <c r="AF440" s="700"/>
      <c r="AG440" s="701"/>
      <c r="AH440" s="222"/>
      <c r="AI440" s="558"/>
      <c r="AJ440" s="557"/>
      <c r="AK440" s="556" t="b">
        <f>IF(AF125="X",IF(M440&gt;="Yes", IF(COUNTA(P440)&gt;0,1,2),IF(M440="No",1,2)))</f>
        <v>0</v>
      </c>
      <c r="AL440" s="556"/>
    </row>
    <row r="441" spans="1:69" ht="15.75" customHeight="1" x14ac:dyDescent="0.2">
      <c r="C441" s="751"/>
      <c r="D441" s="752"/>
      <c r="E441" s="752"/>
      <c r="F441" s="753"/>
      <c r="G441" s="654" t="s">
        <v>161</v>
      </c>
      <c r="H441" s="655"/>
      <c r="I441" s="655"/>
      <c r="J441" s="655"/>
      <c r="K441" s="655"/>
      <c r="L441" s="656"/>
      <c r="M441" s="666"/>
      <c r="N441" s="667"/>
      <c r="O441" s="668"/>
      <c r="P441" s="681"/>
      <c r="Q441" s="682"/>
      <c r="R441" s="682"/>
      <c r="S441" s="682"/>
      <c r="T441" s="682"/>
      <c r="U441" s="682"/>
      <c r="V441" s="682"/>
      <c r="W441" s="683"/>
      <c r="X441" s="699"/>
      <c r="Y441" s="700"/>
      <c r="Z441" s="700"/>
      <c r="AA441" s="700"/>
      <c r="AB441" s="700"/>
      <c r="AC441" s="700"/>
      <c r="AD441" s="700"/>
      <c r="AE441" s="700"/>
      <c r="AF441" s="700"/>
      <c r="AG441" s="701"/>
      <c r="AH441" s="222"/>
      <c r="AI441" s="558"/>
      <c r="AJ441" s="557"/>
      <c r="AK441" s="556" t="b">
        <f>IF(AF125="X",IF(M441&gt;="Yes", IF(COUNTA(P441)&gt;0,1,2),IF(M441="No",1,2)))</f>
        <v>0</v>
      </c>
      <c r="AL441" s="556"/>
    </row>
    <row r="442" spans="1:69" ht="15.75" customHeight="1" x14ac:dyDescent="0.2">
      <c r="C442" s="751"/>
      <c r="D442" s="752"/>
      <c r="E442" s="752"/>
      <c r="F442" s="753"/>
      <c r="G442" s="657"/>
      <c r="H442" s="658"/>
      <c r="I442" s="658"/>
      <c r="J442" s="658"/>
      <c r="K442" s="658"/>
      <c r="L442" s="659"/>
      <c r="M442" s="672"/>
      <c r="N442" s="673"/>
      <c r="O442" s="674"/>
      <c r="P442" s="681"/>
      <c r="Q442" s="682"/>
      <c r="R442" s="682"/>
      <c r="S442" s="682"/>
      <c r="T442" s="682"/>
      <c r="U442" s="682"/>
      <c r="V442" s="682"/>
      <c r="W442" s="683"/>
      <c r="X442" s="699"/>
      <c r="Y442" s="700"/>
      <c r="Z442" s="700"/>
      <c r="AA442" s="700"/>
      <c r="AB442" s="700"/>
      <c r="AC442" s="700"/>
      <c r="AD442" s="700"/>
      <c r="AE442" s="700"/>
      <c r="AF442" s="700"/>
      <c r="AG442" s="701"/>
      <c r="AH442" s="222"/>
      <c r="AI442" s="558"/>
      <c r="AJ442" s="557"/>
      <c r="AK442" s="556"/>
      <c r="AL442" s="556"/>
    </row>
    <row r="443" spans="1:69" ht="15.75" customHeight="1" x14ac:dyDescent="0.2">
      <c r="C443" s="751"/>
      <c r="D443" s="752"/>
      <c r="E443" s="752"/>
      <c r="F443" s="753"/>
      <c r="G443" s="1567" t="s">
        <v>160</v>
      </c>
      <c r="H443" s="1568"/>
      <c r="I443" s="1568"/>
      <c r="J443" s="1568"/>
      <c r="K443" s="1568"/>
      <c r="L443" s="1569"/>
      <c r="M443" s="666"/>
      <c r="N443" s="667"/>
      <c r="O443" s="668"/>
      <c r="P443" s="681"/>
      <c r="Q443" s="682"/>
      <c r="R443" s="682"/>
      <c r="S443" s="682"/>
      <c r="T443" s="682"/>
      <c r="U443" s="682"/>
      <c r="V443" s="682"/>
      <c r="W443" s="683"/>
      <c r="X443" s="699"/>
      <c r="Y443" s="700"/>
      <c r="Z443" s="700"/>
      <c r="AA443" s="700"/>
      <c r="AB443" s="700"/>
      <c r="AC443" s="700"/>
      <c r="AD443" s="700"/>
      <c r="AE443" s="700"/>
      <c r="AF443" s="700"/>
      <c r="AG443" s="701"/>
      <c r="AH443" s="222"/>
      <c r="AI443" s="558"/>
      <c r="AJ443" s="557"/>
      <c r="AK443" s="556" t="b">
        <f>IF(AF125="X",IF(M443&gt;="Yes", IF(COUNTA(P443)&gt;0,1,2),IF(M443="No",1,2)))</f>
        <v>0</v>
      </c>
      <c r="AL443" s="556"/>
    </row>
    <row r="444" spans="1:69" ht="15.75" customHeight="1" x14ac:dyDescent="0.2">
      <c r="C444" s="751"/>
      <c r="D444" s="752"/>
      <c r="E444" s="752"/>
      <c r="F444" s="753"/>
      <c r="G444" s="1570"/>
      <c r="H444" s="1571"/>
      <c r="I444" s="1571"/>
      <c r="J444" s="1571"/>
      <c r="K444" s="1571"/>
      <c r="L444" s="1572"/>
      <c r="M444" s="669"/>
      <c r="N444" s="670"/>
      <c r="O444" s="671"/>
      <c r="P444" s="681"/>
      <c r="Q444" s="682"/>
      <c r="R444" s="682"/>
      <c r="S444" s="682"/>
      <c r="T444" s="682"/>
      <c r="U444" s="682"/>
      <c r="V444" s="682"/>
      <c r="W444" s="683"/>
      <c r="X444" s="699"/>
      <c r="Y444" s="700"/>
      <c r="Z444" s="700"/>
      <c r="AA444" s="700"/>
      <c r="AB444" s="700"/>
      <c r="AC444" s="700"/>
      <c r="AD444" s="700"/>
      <c r="AE444" s="700"/>
      <c r="AF444" s="700"/>
      <c r="AG444" s="701"/>
      <c r="AH444" s="222"/>
      <c r="AI444" s="558"/>
      <c r="AJ444" s="557"/>
      <c r="AK444" s="556"/>
      <c r="AL444" s="556"/>
    </row>
    <row r="445" spans="1:69" ht="15.75" customHeight="1" x14ac:dyDescent="0.2">
      <c r="C445" s="751"/>
      <c r="D445" s="752"/>
      <c r="E445" s="752"/>
      <c r="F445" s="753"/>
      <c r="G445" s="1573"/>
      <c r="H445" s="1574"/>
      <c r="I445" s="1574"/>
      <c r="J445" s="1574"/>
      <c r="K445" s="1574"/>
      <c r="L445" s="1575"/>
      <c r="M445" s="672"/>
      <c r="N445" s="673"/>
      <c r="O445" s="674"/>
      <c r="P445" s="681"/>
      <c r="Q445" s="682"/>
      <c r="R445" s="682"/>
      <c r="S445" s="682"/>
      <c r="T445" s="682"/>
      <c r="U445" s="682"/>
      <c r="V445" s="682"/>
      <c r="W445" s="683"/>
      <c r="X445" s="699"/>
      <c r="Y445" s="700"/>
      <c r="Z445" s="700"/>
      <c r="AA445" s="700"/>
      <c r="AB445" s="700"/>
      <c r="AC445" s="700"/>
      <c r="AD445" s="700"/>
      <c r="AE445" s="700"/>
      <c r="AF445" s="700"/>
      <c r="AG445" s="701"/>
      <c r="AH445" s="222"/>
      <c r="AI445" s="558"/>
      <c r="AJ445" s="557"/>
      <c r="AK445" s="556"/>
      <c r="AL445" s="556"/>
    </row>
    <row r="446" spans="1:69" ht="15.75" customHeight="1" x14ac:dyDescent="0.2">
      <c r="C446" s="751"/>
      <c r="D446" s="752"/>
      <c r="E446" s="752"/>
      <c r="F446" s="753"/>
      <c r="G446" s="1567" t="s">
        <v>159</v>
      </c>
      <c r="H446" s="1568"/>
      <c r="I446" s="1568"/>
      <c r="J446" s="1568"/>
      <c r="K446" s="1568"/>
      <c r="L446" s="1569"/>
      <c r="M446" s="666"/>
      <c r="N446" s="667"/>
      <c r="O446" s="668"/>
      <c r="P446" s="681"/>
      <c r="Q446" s="682"/>
      <c r="R446" s="682"/>
      <c r="S446" s="682"/>
      <c r="T446" s="682"/>
      <c r="U446" s="682"/>
      <c r="V446" s="682"/>
      <c r="W446" s="683"/>
      <c r="X446" s="699"/>
      <c r="Y446" s="700"/>
      <c r="Z446" s="700"/>
      <c r="AA446" s="700"/>
      <c r="AB446" s="700"/>
      <c r="AC446" s="700"/>
      <c r="AD446" s="700"/>
      <c r="AE446" s="700"/>
      <c r="AF446" s="700"/>
      <c r="AG446" s="701"/>
      <c r="AH446" s="222"/>
      <c r="AI446" s="558"/>
      <c r="AJ446" s="557"/>
      <c r="AK446" s="556" t="b">
        <f>IF(AF125="X",IF(M446&gt;="Yes", IF(COUNTA(P446)&gt;0,1,2),IF(M446="No",1,2)))</f>
        <v>0</v>
      </c>
      <c r="AL446" s="556"/>
    </row>
    <row r="447" spans="1:69" ht="15.75" customHeight="1" x14ac:dyDescent="0.2">
      <c r="C447" s="751"/>
      <c r="D447" s="752"/>
      <c r="E447" s="752"/>
      <c r="F447" s="753"/>
      <c r="G447" s="1570"/>
      <c r="H447" s="1571"/>
      <c r="I447" s="1571"/>
      <c r="J447" s="1571"/>
      <c r="K447" s="1571"/>
      <c r="L447" s="1572"/>
      <c r="M447" s="669"/>
      <c r="N447" s="670"/>
      <c r="O447" s="671"/>
      <c r="P447" s="681"/>
      <c r="Q447" s="682"/>
      <c r="R447" s="682"/>
      <c r="S447" s="682"/>
      <c r="T447" s="682"/>
      <c r="U447" s="682"/>
      <c r="V447" s="682"/>
      <c r="W447" s="683"/>
      <c r="X447" s="699"/>
      <c r="Y447" s="700"/>
      <c r="Z447" s="700"/>
      <c r="AA447" s="700"/>
      <c r="AB447" s="700"/>
      <c r="AC447" s="700"/>
      <c r="AD447" s="700"/>
      <c r="AE447" s="700"/>
      <c r="AF447" s="700"/>
      <c r="AG447" s="701"/>
      <c r="AH447" s="222"/>
      <c r="AI447" s="558"/>
      <c r="AJ447" s="557"/>
      <c r="AK447" s="556"/>
      <c r="AL447" s="556"/>
    </row>
    <row r="448" spans="1:69" ht="15.75" customHeight="1" x14ac:dyDescent="0.2">
      <c r="C448" s="751"/>
      <c r="D448" s="752"/>
      <c r="E448" s="752"/>
      <c r="F448" s="753"/>
      <c r="G448" s="1573"/>
      <c r="H448" s="1574"/>
      <c r="I448" s="1574"/>
      <c r="J448" s="1574"/>
      <c r="K448" s="1574"/>
      <c r="L448" s="1575"/>
      <c r="M448" s="672"/>
      <c r="N448" s="673"/>
      <c r="O448" s="674"/>
      <c r="P448" s="681"/>
      <c r="Q448" s="682"/>
      <c r="R448" s="682"/>
      <c r="S448" s="682"/>
      <c r="T448" s="682"/>
      <c r="U448" s="682"/>
      <c r="V448" s="682"/>
      <c r="W448" s="683"/>
      <c r="X448" s="699"/>
      <c r="Y448" s="700"/>
      <c r="Z448" s="700"/>
      <c r="AA448" s="700"/>
      <c r="AB448" s="700"/>
      <c r="AC448" s="700"/>
      <c r="AD448" s="700"/>
      <c r="AE448" s="700"/>
      <c r="AF448" s="700"/>
      <c r="AG448" s="701"/>
      <c r="AH448" s="222"/>
      <c r="AI448" s="558"/>
      <c r="AJ448" s="557"/>
      <c r="AK448" s="556"/>
      <c r="AL448" s="556"/>
    </row>
    <row r="449" spans="3:38" ht="15.75" customHeight="1" x14ac:dyDescent="0.2">
      <c r="C449" s="751"/>
      <c r="D449" s="752"/>
      <c r="E449" s="752"/>
      <c r="F449" s="753"/>
      <c r="G449" s="645" t="s">
        <v>158</v>
      </c>
      <c r="H449" s="646"/>
      <c r="I449" s="646"/>
      <c r="J449" s="646"/>
      <c r="K449" s="646"/>
      <c r="L449" s="647"/>
      <c r="M449" s="666"/>
      <c r="N449" s="667"/>
      <c r="O449" s="668"/>
      <c r="P449" s="681"/>
      <c r="Q449" s="682"/>
      <c r="R449" s="682"/>
      <c r="S449" s="682"/>
      <c r="T449" s="682"/>
      <c r="U449" s="682"/>
      <c r="V449" s="682"/>
      <c r="W449" s="683"/>
      <c r="X449" s="699"/>
      <c r="Y449" s="700"/>
      <c r="Z449" s="700"/>
      <c r="AA449" s="700"/>
      <c r="AB449" s="700"/>
      <c r="AC449" s="700"/>
      <c r="AD449" s="700"/>
      <c r="AE449" s="700"/>
      <c r="AF449" s="700"/>
      <c r="AG449" s="701"/>
      <c r="AH449" s="222"/>
      <c r="AI449" s="558"/>
      <c r="AJ449" s="557"/>
      <c r="AK449" s="556" t="b">
        <f>IF(AF125="X",IF(M449&gt;="Yes", IF(COUNTA(P449)&gt;0,1,2),IF(M449="No",1,2)))</f>
        <v>0</v>
      </c>
      <c r="AL449" s="556"/>
    </row>
    <row r="450" spans="3:38" ht="15.75" customHeight="1" x14ac:dyDescent="0.2">
      <c r="C450" s="751"/>
      <c r="D450" s="752"/>
      <c r="E450" s="752"/>
      <c r="F450" s="753"/>
      <c r="G450" s="648"/>
      <c r="H450" s="649"/>
      <c r="I450" s="649"/>
      <c r="J450" s="649"/>
      <c r="K450" s="649"/>
      <c r="L450" s="650"/>
      <c r="M450" s="669"/>
      <c r="N450" s="670"/>
      <c r="O450" s="671"/>
      <c r="P450" s="681"/>
      <c r="Q450" s="682"/>
      <c r="R450" s="682"/>
      <c r="S450" s="682"/>
      <c r="T450" s="682"/>
      <c r="U450" s="682"/>
      <c r="V450" s="682"/>
      <c r="W450" s="683"/>
      <c r="X450" s="699"/>
      <c r="Y450" s="700"/>
      <c r="Z450" s="700"/>
      <c r="AA450" s="700"/>
      <c r="AB450" s="700"/>
      <c r="AC450" s="700"/>
      <c r="AD450" s="700"/>
      <c r="AE450" s="700"/>
      <c r="AF450" s="700"/>
      <c r="AG450" s="701"/>
      <c r="AH450" s="222"/>
      <c r="AI450" s="558"/>
      <c r="AJ450" s="557"/>
      <c r="AK450" s="556"/>
      <c r="AL450" s="556"/>
    </row>
    <row r="451" spans="3:38" ht="15.75" customHeight="1" x14ac:dyDescent="0.2">
      <c r="C451" s="754"/>
      <c r="D451" s="755"/>
      <c r="E451" s="755"/>
      <c r="F451" s="756"/>
      <c r="G451" s="651"/>
      <c r="H451" s="652"/>
      <c r="I451" s="652"/>
      <c r="J451" s="652"/>
      <c r="K451" s="652"/>
      <c r="L451" s="653"/>
      <c r="M451" s="672"/>
      <c r="N451" s="673"/>
      <c r="O451" s="674"/>
      <c r="P451" s="681"/>
      <c r="Q451" s="682"/>
      <c r="R451" s="682"/>
      <c r="S451" s="682"/>
      <c r="T451" s="682"/>
      <c r="U451" s="682"/>
      <c r="V451" s="682"/>
      <c r="W451" s="683"/>
      <c r="X451" s="699"/>
      <c r="Y451" s="700"/>
      <c r="Z451" s="700"/>
      <c r="AA451" s="700"/>
      <c r="AB451" s="700"/>
      <c r="AC451" s="700"/>
      <c r="AD451" s="700"/>
      <c r="AE451" s="700"/>
      <c r="AF451" s="700"/>
      <c r="AG451" s="701"/>
      <c r="AH451" s="222"/>
      <c r="AI451" s="558"/>
      <c r="AJ451" s="557"/>
      <c r="AK451" s="556"/>
      <c r="AL451" s="556"/>
    </row>
    <row r="452" spans="3:38" ht="15.75" customHeight="1" x14ac:dyDescent="0.2">
      <c r="C452" s="748" t="s">
        <v>1056</v>
      </c>
      <c r="D452" s="749"/>
      <c r="E452" s="749"/>
      <c r="F452" s="750"/>
      <c r="G452" s="1159" t="s">
        <v>1033</v>
      </c>
      <c r="H452" s="1160"/>
      <c r="I452" s="1160"/>
      <c r="J452" s="1160"/>
      <c r="K452" s="1160"/>
      <c r="L452" s="1161"/>
      <c r="M452" s="745"/>
      <c r="N452" s="746"/>
      <c r="O452" s="770"/>
      <c r="P452" s="681"/>
      <c r="Q452" s="682"/>
      <c r="R452" s="682"/>
      <c r="S452" s="682"/>
      <c r="T452" s="682"/>
      <c r="U452" s="682"/>
      <c r="V452" s="682"/>
      <c r="W452" s="683"/>
      <c r="X452" s="699"/>
      <c r="Y452" s="700"/>
      <c r="Z452" s="700"/>
      <c r="AA452" s="700"/>
      <c r="AB452" s="700"/>
      <c r="AC452" s="700"/>
      <c r="AD452" s="700"/>
      <c r="AE452" s="700"/>
      <c r="AF452" s="700"/>
      <c r="AG452" s="701"/>
      <c r="AH452" s="222"/>
      <c r="AI452" s="558"/>
      <c r="AJ452" s="557"/>
      <c r="AK452" s="556" t="b">
        <f>IF(AF125="X",IF(M452&gt;="Yes", IF(COUNTA(P452)&gt;0,1,2),IF(M452="No",1,2)))</f>
        <v>0</v>
      </c>
      <c r="AL452" s="556"/>
    </row>
    <row r="453" spans="3:38" ht="15.75" customHeight="1" x14ac:dyDescent="0.2">
      <c r="C453" s="751"/>
      <c r="D453" s="752"/>
      <c r="E453" s="752"/>
      <c r="F453" s="753"/>
      <c r="G453" s="1576" t="s">
        <v>885</v>
      </c>
      <c r="H453" s="1577"/>
      <c r="I453" s="1577"/>
      <c r="J453" s="1577"/>
      <c r="K453" s="1577"/>
      <c r="L453" s="1578"/>
      <c r="M453" s="666"/>
      <c r="N453" s="667"/>
      <c r="O453" s="668"/>
      <c r="P453" s="681"/>
      <c r="Q453" s="682"/>
      <c r="R453" s="682"/>
      <c r="S453" s="682"/>
      <c r="T453" s="682"/>
      <c r="U453" s="682"/>
      <c r="V453" s="682"/>
      <c r="W453" s="683"/>
      <c r="X453" s="699"/>
      <c r="Y453" s="700"/>
      <c r="Z453" s="700"/>
      <c r="AA453" s="700"/>
      <c r="AB453" s="700"/>
      <c r="AC453" s="700"/>
      <c r="AD453" s="700"/>
      <c r="AE453" s="700"/>
      <c r="AF453" s="700"/>
      <c r="AG453" s="701"/>
      <c r="AH453" s="222"/>
      <c r="AI453" s="558"/>
      <c r="AJ453" s="557"/>
      <c r="AK453" s="556" t="b">
        <f>IF(AF125="X",IF(M453&gt;="Yes", IF(COUNTA(P453)&gt;0,1,2),IF(M453="No",1,2)))</f>
        <v>0</v>
      </c>
      <c r="AL453" s="556"/>
    </row>
    <row r="454" spans="3:38" ht="15.75" customHeight="1" x14ac:dyDescent="0.2">
      <c r="C454" s="751"/>
      <c r="D454" s="752"/>
      <c r="E454" s="752"/>
      <c r="F454" s="753"/>
      <c r="G454" s="1579"/>
      <c r="H454" s="1580"/>
      <c r="I454" s="1580"/>
      <c r="J454" s="1580"/>
      <c r="K454" s="1580"/>
      <c r="L454" s="1581"/>
      <c r="M454" s="672"/>
      <c r="N454" s="673"/>
      <c r="O454" s="674"/>
      <c r="P454" s="681"/>
      <c r="Q454" s="682"/>
      <c r="R454" s="682"/>
      <c r="S454" s="682"/>
      <c r="T454" s="682"/>
      <c r="U454" s="682"/>
      <c r="V454" s="682"/>
      <c r="W454" s="683"/>
      <c r="X454" s="699"/>
      <c r="Y454" s="700"/>
      <c r="Z454" s="700"/>
      <c r="AA454" s="700"/>
      <c r="AB454" s="700"/>
      <c r="AC454" s="700"/>
      <c r="AD454" s="700"/>
      <c r="AE454" s="700"/>
      <c r="AF454" s="700"/>
      <c r="AG454" s="701"/>
      <c r="AH454" s="222"/>
      <c r="AI454" s="558"/>
      <c r="AJ454" s="557"/>
      <c r="AK454" s="556"/>
      <c r="AL454" s="556"/>
    </row>
    <row r="455" spans="3:38" ht="15.75" customHeight="1" x14ac:dyDescent="0.2">
      <c r="C455" s="754"/>
      <c r="D455" s="755"/>
      <c r="E455" s="755"/>
      <c r="F455" s="756"/>
      <c r="G455" s="1582" t="s">
        <v>1036</v>
      </c>
      <c r="H455" s="1583"/>
      <c r="I455" s="1583"/>
      <c r="J455" s="1583"/>
      <c r="K455" s="1583"/>
      <c r="L455" s="1584"/>
      <c r="M455" s="745"/>
      <c r="N455" s="746"/>
      <c r="O455" s="770"/>
      <c r="P455" s="681"/>
      <c r="Q455" s="682"/>
      <c r="R455" s="682"/>
      <c r="S455" s="682"/>
      <c r="T455" s="682"/>
      <c r="U455" s="682"/>
      <c r="V455" s="682"/>
      <c r="W455" s="683"/>
      <c r="X455" s="699"/>
      <c r="Y455" s="700"/>
      <c r="Z455" s="700"/>
      <c r="AA455" s="700"/>
      <c r="AB455" s="700"/>
      <c r="AC455" s="700"/>
      <c r="AD455" s="700"/>
      <c r="AE455" s="700"/>
      <c r="AF455" s="700"/>
      <c r="AG455" s="701"/>
      <c r="AH455" s="222"/>
      <c r="AI455" s="558"/>
      <c r="AJ455" s="557"/>
      <c r="AK455" s="556" t="b">
        <f>IF(AF125="X",IF(M455&gt;="Yes", IF(COUNTA(P455)&gt;0,1,2),IF(M455="No",1,2)))</f>
        <v>0</v>
      </c>
      <c r="AL455" s="556"/>
    </row>
    <row r="456" spans="3:38" ht="15.75" customHeight="1" x14ac:dyDescent="0.2">
      <c r="C456" s="751" t="s">
        <v>663</v>
      </c>
      <c r="D456" s="752"/>
      <c r="E456" s="752"/>
      <c r="F456" s="753"/>
      <c r="G456" s="1159" t="s">
        <v>1034</v>
      </c>
      <c r="H456" s="1160"/>
      <c r="I456" s="1160"/>
      <c r="J456" s="1160"/>
      <c r="K456" s="1160"/>
      <c r="L456" s="1161"/>
      <c r="M456" s="745"/>
      <c r="N456" s="746"/>
      <c r="O456" s="770"/>
      <c r="P456" s="681"/>
      <c r="Q456" s="682"/>
      <c r="R456" s="682"/>
      <c r="S456" s="682"/>
      <c r="T456" s="682"/>
      <c r="U456" s="682"/>
      <c r="V456" s="682"/>
      <c r="W456" s="683"/>
      <c r="X456" s="699"/>
      <c r="Y456" s="700"/>
      <c r="Z456" s="700"/>
      <c r="AA456" s="700"/>
      <c r="AB456" s="700"/>
      <c r="AC456" s="700"/>
      <c r="AD456" s="700"/>
      <c r="AE456" s="700"/>
      <c r="AF456" s="700"/>
      <c r="AG456" s="701"/>
      <c r="AH456" s="222"/>
      <c r="AI456" s="558"/>
      <c r="AJ456" s="557"/>
      <c r="AK456" s="556" t="b">
        <f>IF(AF125="X",IF(M456&gt;="Yes", IF(COUNTA(P456)&gt;0,1,2),IF(M456="No",1,2)))</f>
        <v>0</v>
      </c>
      <c r="AL456" s="556"/>
    </row>
    <row r="457" spans="3:38" ht="16.5" customHeight="1" x14ac:dyDescent="0.2">
      <c r="C457" s="751"/>
      <c r="D457" s="752"/>
      <c r="E457" s="752"/>
      <c r="F457" s="753"/>
      <c r="G457" s="1588" t="s">
        <v>1035</v>
      </c>
      <c r="H457" s="1589"/>
      <c r="I457" s="1589"/>
      <c r="J457" s="1589"/>
      <c r="K457" s="1589"/>
      <c r="L457" s="1590"/>
      <c r="M457" s="745"/>
      <c r="N457" s="746"/>
      <c r="O457" s="770"/>
      <c r="P457" s="681"/>
      <c r="Q457" s="682"/>
      <c r="R457" s="682"/>
      <c r="S457" s="682"/>
      <c r="T457" s="682"/>
      <c r="U457" s="682"/>
      <c r="V457" s="682"/>
      <c r="W457" s="683"/>
      <c r="X457" s="699"/>
      <c r="Y457" s="700"/>
      <c r="Z457" s="700"/>
      <c r="AA457" s="700"/>
      <c r="AB457" s="700"/>
      <c r="AC457" s="700"/>
      <c r="AD457" s="700"/>
      <c r="AE457" s="700"/>
      <c r="AF457" s="700"/>
      <c r="AG457" s="701"/>
      <c r="AH457" s="222"/>
      <c r="AI457" s="558"/>
      <c r="AJ457" s="557"/>
      <c r="AK457" s="556" t="b">
        <f>IF(AF125="X",IF(M457&gt;="Yes", IF(COUNTA(P457)&gt;0,1,2),IF(M457="No",1,2)))</f>
        <v>0</v>
      </c>
      <c r="AL457" s="556"/>
    </row>
    <row r="458" spans="3:38" ht="15.75" customHeight="1" x14ac:dyDescent="0.2">
      <c r="C458" s="751"/>
      <c r="D458" s="752"/>
      <c r="E458" s="752"/>
      <c r="F458" s="753"/>
      <c r="G458" s="1591" t="s">
        <v>155</v>
      </c>
      <c r="H458" s="1592"/>
      <c r="I458" s="1592"/>
      <c r="J458" s="1592"/>
      <c r="K458" s="1592"/>
      <c r="L458" s="1593"/>
      <c r="M458" s="666"/>
      <c r="N458" s="667"/>
      <c r="O458" s="668"/>
      <c r="P458" s="681"/>
      <c r="Q458" s="682"/>
      <c r="R458" s="682"/>
      <c r="S458" s="682"/>
      <c r="T458" s="682"/>
      <c r="U458" s="682"/>
      <c r="V458" s="682"/>
      <c r="W458" s="683"/>
      <c r="X458" s="699"/>
      <c r="Y458" s="700"/>
      <c r="Z458" s="700"/>
      <c r="AA458" s="700"/>
      <c r="AB458" s="700"/>
      <c r="AC458" s="700"/>
      <c r="AD458" s="700"/>
      <c r="AE458" s="700"/>
      <c r="AF458" s="700"/>
      <c r="AG458" s="701"/>
      <c r="AH458" s="222"/>
      <c r="AI458" s="558"/>
      <c r="AJ458" s="557"/>
      <c r="AK458" s="556" t="b">
        <f>IF(AF125="X",IF(M458&gt;="Yes", IF(COUNTA(P458)&gt;0,1,2),IF(M458="No",1,2)))</f>
        <v>0</v>
      </c>
      <c r="AL458" s="556"/>
    </row>
    <row r="459" spans="3:38" ht="16.5" customHeight="1" x14ac:dyDescent="0.2">
      <c r="C459" s="751"/>
      <c r="D459" s="752"/>
      <c r="E459" s="752"/>
      <c r="F459" s="753"/>
      <c r="G459" s="1594"/>
      <c r="H459" s="1595"/>
      <c r="I459" s="1595"/>
      <c r="J459" s="1595"/>
      <c r="K459" s="1595"/>
      <c r="L459" s="1596"/>
      <c r="M459" s="669"/>
      <c r="N459" s="670"/>
      <c r="O459" s="671"/>
      <c r="P459" s="681"/>
      <c r="Q459" s="682"/>
      <c r="R459" s="682"/>
      <c r="S459" s="682"/>
      <c r="T459" s="682"/>
      <c r="U459" s="682"/>
      <c r="V459" s="682"/>
      <c r="W459" s="683"/>
      <c r="X459" s="699"/>
      <c r="Y459" s="700"/>
      <c r="Z459" s="700"/>
      <c r="AA459" s="700"/>
      <c r="AB459" s="700"/>
      <c r="AC459" s="700"/>
      <c r="AD459" s="700"/>
      <c r="AE459" s="700"/>
      <c r="AF459" s="700"/>
      <c r="AG459" s="701"/>
      <c r="AH459" s="222"/>
      <c r="AI459" s="558"/>
      <c r="AJ459" s="557"/>
      <c r="AK459" s="556"/>
      <c r="AL459" s="556"/>
    </row>
    <row r="460" spans="3:38" ht="15.75" customHeight="1" x14ac:dyDescent="0.2">
      <c r="C460" s="751"/>
      <c r="D460" s="752"/>
      <c r="E460" s="752"/>
      <c r="F460" s="753"/>
      <c r="G460" s="1597"/>
      <c r="H460" s="1598"/>
      <c r="I460" s="1598"/>
      <c r="J460" s="1598"/>
      <c r="K460" s="1598"/>
      <c r="L460" s="1599"/>
      <c r="M460" s="672"/>
      <c r="N460" s="673"/>
      <c r="O460" s="674"/>
      <c r="P460" s="681"/>
      <c r="Q460" s="682"/>
      <c r="R460" s="682"/>
      <c r="S460" s="682"/>
      <c r="T460" s="682"/>
      <c r="U460" s="682"/>
      <c r="V460" s="682"/>
      <c r="W460" s="683"/>
      <c r="X460" s="699"/>
      <c r="Y460" s="700"/>
      <c r="Z460" s="700"/>
      <c r="AA460" s="700"/>
      <c r="AB460" s="700"/>
      <c r="AC460" s="700"/>
      <c r="AD460" s="700"/>
      <c r="AE460" s="700"/>
      <c r="AF460" s="700"/>
      <c r="AG460" s="701"/>
      <c r="AH460" s="222"/>
      <c r="AI460" s="558"/>
      <c r="AJ460" s="557"/>
      <c r="AK460" s="556"/>
      <c r="AL460" s="556"/>
    </row>
    <row r="461" spans="3:38" ht="17.25" customHeight="1" x14ac:dyDescent="0.2">
      <c r="C461" s="751"/>
      <c r="D461" s="752"/>
      <c r="E461" s="752"/>
      <c r="F461" s="753"/>
      <c r="G461" s="1585" t="s">
        <v>157</v>
      </c>
      <c r="H461" s="1586"/>
      <c r="I461" s="1586"/>
      <c r="J461" s="1586"/>
      <c r="K461" s="1586"/>
      <c r="L461" s="1587"/>
      <c r="M461" s="666"/>
      <c r="N461" s="667"/>
      <c r="O461" s="668"/>
      <c r="P461" s="681"/>
      <c r="Q461" s="682"/>
      <c r="R461" s="682"/>
      <c r="S461" s="682"/>
      <c r="T461" s="682"/>
      <c r="U461" s="682"/>
      <c r="V461" s="682"/>
      <c r="W461" s="683"/>
      <c r="X461" s="699"/>
      <c r="Y461" s="700"/>
      <c r="Z461" s="700"/>
      <c r="AA461" s="700"/>
      <c r="AB461" s="700"/>
      <c r="AC461" s="700"/>
      <c r="AD461" s="700"/>
      <c r="AE461" s="700"/>
      <c r="AF461" s="700"/>
      <c r="AG461" s="701"/>
      <c r="AH461" s="222"/>
      <c r="AI461" s="558"/>
      <c r="AJ461" s="557"/>
      <c r="AK461" s="556" t="b">
        <f>IF(AF125="X",IF(M461&gt;="Yes", IF(COUNTA(P461)&gt;0,1,2),IF(M461="No",1,2)))</f>
        <v>0</v>
      </c>
      <c r="AL461" s="556"/>
    </row>
    <row r="462" spans="3:38" ht="15" customHeight="1" x14ac:dyDescent="0.2">
      <c r="C462" s="751"/>
      <c r="D462" s="752"/>
      <c r="E462" s="752"/>
      <c r="F462" s="753"/>
      <c r="G462" s="1601" t="s">
        <v>156</v>
      </c>
      <c r="H462" s="1602"/>
      <c r="I462" s="1602"/>
      <c r="J462" s="1602"/>
      <c r="K462" s="1602"/>
      <c r="L462" s="1603"/>
      <c r="M462" s="669"/>
      <c r="N462" s="670"/>
      <c r="O462" s="671"/>
      <c r="P462" s="681"/>
      <c r="Q462" s="682"/>
      <c r="R462" s="682"/>
      <c r="S462" s="682"/>
      <c r="T462" s="682"/>
      <c r="U462" s="682"/>
      <c r="V462" s="682"/>
      <c r="W462" s="683"/>
      <c r="X462" s="699"/>
      <c r="Y462" s="700"/>
      <c r="Z462" s="700"/>
      <c r="AA462" s="700"/>
      <c r="AB462" s="700"/>
      <c r="AC462" s="700"/>
      <c r="AD462" s="700"/>
      <c r="AE462" s="700"/>
      <c r="AF462" s="700"/>
      <c r="AG462" s="701"/>
      <c r="AH462" s="222"/>
      <c r="AI462" s="558"/>
      <c r="AJ462" s="557"/>
      <c r="AK462" s="556"/>
      <c r="AL462" s="556"/>
    </row>
    <row r="463" spans="3:38" ht="15.75" customHeight="1" x14ac:dyDescent="0.2">
      <c r="C463" s="751"/>
      <c r="D463" s="752"/>
      <c r="E463" s="752"/>
      <c r="F463" s="753"/>
      <c r="G463" s="1604"/>
      <c r="H463" s="1605"/>
      <c r="I463" s="1605"/>
      <c r="J463" s="1605"/>
      <c r="K463" s="1605"/>
      <c r="L463" s="1606"/>
      <c r="M463" s="672"/>
      <c r="N463" s="673"/>
      <c r="O463" s="674"/>
      <c r="P463" s="681"/>
      <c r="Q463" s="682"/>
      <c r="R463" s="682"/>
      <c r="S463" s="682"/>
      <c r="T463" s="682"/>
      <c r="U463" s="682"/>
      <c r="V463" s="682"/>
      <c r="W463" s="683"/>
      <c r="X463" s="699"/>
      <c r="Y463" s="700"/>
      <c r="Z463" s="700"/>
      <c r="AA463" s="700"/>
      <c r="AB463" s="700"/>
      <c r="AC463" s="700"/>
      <c r="AD463" s="700"/>
      <c r="AE463" s="700"/>
      <c r="AF463" s="700"/>
      <c r="AG463" s="701"/>
      <c r="AH463" s="222"/>
      <c r="AI463" s="558"/>
      <c r="AJ463" s="557"/>
      <c r="AK463" s="556"/>
      <c r="AL463" s="556"/>
    </row>
    <row r="464" spans="3:38" ht="16.5" customHeight="1" x14ac:dyDescent="0.2">
      <c r="C464" s="751"/>
      <c r="D464" s="752"/>
      <c r="E464" s="752"/>
      <c r="F464" s="753"/>
      <c r="G464" s="1904" t="s">
        <v>154</v>
      </c>
      <c r="H464" s="1905"/>
      <c r="I464" s="1905"/>
      <c r="J464" s="1905"/>
      <c r="K464" s="1905"/>
      <c r="L464" s="1906"/>
      <c r="M464" s="666"/>
      <c r="N464" s="667"/>
      <c r="O464" s="668"/>
      <c r="P464" s="681"/>
      <c r="Q464" s="682"/>
      <c r="R464" s="682"/>
      <c r="S464" s="682"/>
      <c r="T464" s="682"/>
      <c r="U464" s="682"/>
      <c r="V464" s="682"/>
      <c r="W464" s="683"/>
      <c r="X464" s="699"/>
      <c r="Y464" s="700"/>
      <c r="Z464" s="700"/>
      <c r="AA464" s="700"/>
      <c r="AB464" s="700"/>
      <c r="AC464" s="700"/>
      <c r="AD464" s="700"/>
      <c r="AE464" s="700"/>
      <c r="AF464" s="700"/>
      <c r="AG464" s="701"/>
      <c r="AH464" s="222"/>
      <c r="AI464" s="558"/>
      <c r="AJ464" s="557"/>
      <c r="AK464" s="556" t="b">
        <f>IF(AF125="X",IF(M464&gt;="Yes", IF(COUNTA(P464)&gt;0,1,2),IF(M464="No",1,2)))</f>
        <v>0</v>
      </c>
      <c r="AL464" s="556"/>
    </row>
    <row r="465" spans="1:38" ht="16.5" customHeight="1" x14ac:dyDescent="0.2">
      <c r="C465" s="751"/>
      <c r="D465" s="752"/>
      <c r="E465" s="752"/>
      <c r="F465" s="753"/>
      <c r="G465" s="1907"/>
      <c r="H465" s="1908"/>
      <c r="I465" s="1908"/>
      <c r="J465" s="1908"/>
      <c r="K465" s="1908"/>
      <c r="L465" s="1909"/>
      <c r="M465" s="669"/>
      <c r="N465" s="670"/>
      <c r="O465" s="671"/>
      <c r="P465" s="681"/>
      <c r="Q465" s="682"/>
      <c r="R465" s="682"/>
      <c r="S465" s="682"/>
      <c r="T465" s="682"/>
      <c r="U465" s="682"/>
      <c r="V465" s="682"/>
      <c r="W465" s="683"/>
      <c r="X465" s="699"/>
      <c r="Y465" s="700"/>
      <c r="Z465" s="700"/>
      <c r="AA465" s="700"/>
      <c r="AB465" s="700"/>
      <c r="AC465" s="700"/>
      <c r="AD465" s="700"/>
      <c r="AE465" s="700"/>
      <c r="AF465" s="700"/>
      <c r="AG465" s="701"/>
      <c r="AH465" s="222"/>
      <c r="AI465" s="558"/>
      <c r="AJ465" s="557"/>
      <c r="AK465" s="556"/>
      <c r="AL465" s="556"/>
    </row>
    <row r="466" spans="1:38" ht="16.5" customHeight="1" x14ac:dyDescent="0.2">
      <c r="C466" s="751"/>
      <c r="D466" s="752"/>
      <c r="E466" s="752"/>
      <c r="F466" s="753"/>
      <c r="G466" s="1907"/>
      <c r="H466" s="1908"/>
      <c r="I466" s="1908"/>
      <c r="J466" s="1908"/>
      <c r="K466" s="1908"/>
      <c r="L466" s="1909"/>
      <c r="M466" s="669"/>
      <c r="N466" s="670"/>
      <c r="O466" s="671"/>
      <c r="P466" s="681"/>
      <c r="Q466" s="682"/>
      <c r="R466" s="682"/>
      <c r="S466" s="682"/>
      <c r="T466" s="682"/>
      <c r="U466" s="682"/>
      <c r="V466" s="682"/>
      <c r="W466" s="683"/>
      <c r="X466" s="699"/>
      <c r="Y466" s="700"/>
      <c r="Z466" s="700"/>
      <c r="AA466" s="700"/>
      <c r="AB466" s="700"/>
      <c r="AC466" s="700"/>
      <c r="AD466" s="700"/>
      <c r="AE466" s="700"/>
      <c r="AF466" s="700"/>
      <c r="AG466" s="701"/>
      <c r="AH466" s="222"/>
      <c r="AI466" s="558"/>
      <c r="AJ466" s="557"/>
      <c r="AK466" s="556"/>
      <c r="AL466" s="556"/>
    </row>
    <row r="467" spans="1:38" ht="15.75" customHeight="1" thickBot="1" x14ac:dyDescent="0.25">
      <c r="C467" s="751"/>
      <c r="D467" s="752"/>
      <c r="E467" s="752"/>
      <c r="F467" s="753"/>
      <c r="G467" s="1907"/>
      <c r="H467" s="1908"/>
      <c r="I467" s="1908"/>
      <c r="J467" s="1908"/>
      <c r="K467" s="1908"/>
      <c r="L467" s="1909"/>
      <c r="M467" s="669"/>
      <c r="N467" s="670"/>
      <c r="O467" s="671"/>
      <c r="P467" s="681"/>
      <c r="Q467" s="682"/>
      <c r="R467" s="682"/>
      <c r="S467" s="682"/>
      <c r="T467" s="682"/>
      <c r="U467" s="682"/>
      <c r="V467" s="682"/>
      <c r="W467" s="683"/>
      <c r="X467" s="699"/>
      <c r="Y467" s="700"/>
      <c r="Z467" s="700"/>
      <c r="AA467" s="700"/>
      <c r="AB467" s="700"/>
      <c r="AC467" s="700"/>
      <c r="AD467" s="700"/>
      <c r="AE467" s="700"/>
      <c r="AF467" s="700"/>
      <c r="AG467" s="701"/>
      <c r="AH467" s="222"/>
      <c r="AI467" s="558"/>
      <c r="AJ467" s="557"/>
      <c r="AK467" s="556"/>
      <c r="AL467" s="556"/>
    </row>
    <row r="468" spans="1:38" ht="15" customHeight="1" thickBot="1" x14ac:dyDescent="0.25">
      <c r="A468" s="562"/>
      <c r="B468" s="337"/>
      <c r="C468" s="1156" t="s">
        <v>205</v>
      </c>
      <c r="D468" s="1157"/>
      <c r="E468" s="1157"/>
      <c r="F468" s="1157"/>
      <c r="G468" s="1157"/>
      <c r="H468" s="1157"/>
      <c r="I468" s="1157"/>
      <c r="J468" s="1157"/>
      <c r="K468" s="1157"/>
      <c r="L468" s="1158"/>
      <c r="M468" s="1563"/>
      <c r="N468" s="667"/>
      <c r="O468" s="1564"/>
      <c r="P468" s="681"/>
      <c r="Q468" s="682"/>
      <c r="R468" s="682"/>
      <c r="S468" s="682"/>
      <c r="T468" s="682"/>
      <c r="U468" s="682"/>
      <c r="V468" s="682"/>
      <c r="W468" s="683"/>
      <c r="X468" s="663" t="s">
        <v>690</v>
      </c>
      <c r="Y468" s="664"/>
      <c r="Z468" s="664"/>
      <c r="AA468" s="665"/>
      <c r="AB468" s="165"/>
      <c r="AC468" s="663" t="s">
        <v>691</v>
      </c>
      <c r="AD468" s="664"/>
      <c r="AE468" s="664"/>
      <c r="AF468" s="665"/>
      <c r="AG468" s="165"/>
      <c r="AH468" s="463"/>
      <c r="AI468" s="558"/>
      <c r="AJ468" s="557"/>
      <c r="AK468" s="556" t="b">
        <f>IF(AF125="X",IF(M468&gt;="Yes", IF(COUNTA(P468)&gt;0,1,2),IF(M468="No",1,2)))</f>
        <v>0</v>
      </c>
      <c r="AL468" s="556"/>
    </row>
    <row r="469" spans="1:38" ht="15" customHeight="1" thickBot="1" x14ac:dyDescent="0.25">
      <c r="A469" s="562"/>
      <c r="B469" s="337"/>
      <c r="C469" s="708"/>
      <c r="D469" s="709"/>
      <c r="E469" s="709"/>
      <c r="F469" s="709"/>
      <c r="G469" s="709"/>
      <c r="H469" s="709"/>
      <c r="I469" s="709"/>
      <c r="J469" s="709"/>
      <c r="K469" s="709"/>
      <c r="L469" s="710"/>
      <c r="M469" s="1565"/>
      <c r="N469" s="670"/>
      <c r="O469" s="1566"/>
      <c r="P469" s="681"/>
      <c r="Q469" s="682"/>
      <c r="R469" s="682"/>
      <c r="S469" s="682"/>
      <c r="T469" s="682"/>
      <c r="U469" s="682"/>
      <c r="V469" s="682"/>
      <c r="W469" s="683"/>
      <c r="X469" s="663" t="s">
        <v>690</v>
      </c>
      <c r="Y469" s="664"/>
      <c r="Z469" s="664"/>
      <c r="AA469" s="665"/>
      <c r="AB469" s="165"/>
      <c r="AC469" s="663" t="s">
        <v>691</v>
      </c>
      <c r="AD469" s="664"/>
      <c r="AE469" s="664"/>
      <c r="AF469" s="665"/>
      <c r="AG469" s="165"/>
      <c r="AH469" s="463"/>
      <c r="AI469" s="558"/>
      <c r="AJ469" s="557"/>
      <c r="AK469" s="556"/>
      <c r="AL469" s="556"/>
    </row>
    <row r="470" spans="1:38" ht="15" customHeight="1" thickBot="1" x14ac:dyDescent="0.25">
      <c r="A470" s="562"/>
      <c r="B470" s="337"/>
      <c r="C470" s="1600" t="s">
        <v>206</v>
      </c>
      <c r="D470" s="1154"/>
      <c r="E470" s="1154"/>
      <c r="F470" s="1154"/>
      <c r="G470" s="1154"/>
      <c r="H470" s="1154"/>
      <c r="I470" s="1154"/>
      <c r="J470" s="1154"/>
      <c r="K470" s="1154"/>
      <c r="L470" s="1155"/>
      <c r="M470" s="1565"/>
      <c r="N470" s="670"/>
      <c r="O470" s="1566"/>
      <c r="P470" s="681"/>
      <c r="Q470" s="682"/>
      <c r="R470" s="682"/>
      <c r="S470" s="682"/>
      <c r="T470" s="682"/>
      <c r="U470" s="682"/>
      <c r="V470" s="682"/>
      <c r="W470" s="683"/>
      <c r="X470" s="663" t="s">
        <v>690</v>
      </c>
      <c r="Y470" s="664"/>
      <c r="Z470" s="664"/>
      <c r="AA470" s="665"/>
      <c r="AB470" s="165"/>
      <c r="AC470" s="663" t="s">
        <v>691</v>
      </c>
      <c r="AD470" s="664"/>
      <c r="AE470" s="664"/>
      <c r="AF470" s="665"/>
      <c r="AG470" s="165"/>
      <c r="AH470" s="463"/>
      <c r="AI470" s="558"/>
      <c r="AJ470" s="557"/>
      <c r="AK470" s="556"/>
      <c r="AL470" s="556"/>
    </row>
    <row r="471" spans="1:38" ht="15" customHeight="1" thickBot="1" x14ac:dyDescent="0.25">
      <c r="A471" s="562"/>
      <c r="B471" s="337"/>
      <c r="C471" s="1153" t="s">
        <v>207</v>
      </c>
      <c r="D471" s="1154"/>
      <c r="E471" s="1154"/>
      <c r="F471" s="1154"/>
      <c r="G471" s="1154"/>
      <c r="H471" s="1154"/>
      <c r="I471" s="1154"/>
      <c r="J471" s="1154"/>
      <c r="K471" s="1154"/>
      <c r="L471" s="1155"/>
      <c r="M471" s="1565"/>
      <c r="N471" s="670"/>
      <c r="O471" s="1566"/>
      <c r="P471" s="681"/>
      <c r="Q471" s="682"/>
      <c r="R471" s="682"/>
      <c r="S471" s="682"/>
      <c r="T471" s="682"/>
      <c r="U471" s="682"/>
      <c r="V471" s="682"/>
      <c r="W471" s="683"/>
      <c r="X471" s="663" t="s">
        <v>690</v>
      </c>
      <c r="Y471" s="664"/>
      <c r="Z471" s="664"/>
      <c r="AA471" s="665"/>
      <c r="AB471" s="165"/>
      <c r="AC471" s="663" t="s">
        <v>691</v>
      </c>
      <c r="AD471" s="664"/>
      <c r="AE471" s="664"/>
      <c r="AF471" s="665"/>
      <c r="AG471" s="165"/>
      <c r="AH471" s="463"/>
      <c r="AI471" s="558"/>
      <c r="AJ471" s="557"/>
      <c r="AK471" s="556"/>
      <c r="AL471" s="556"/>
    </row>
    <row r="472" spans="1:38" ht="14.25" customHeight="1" thickBot="1" x14ac:dyDescent="0.25">
      <c r="A472" s="562"/>
      <c r="B472" s="337"/>
      <c r="C472" s="678"/>
      <c r="D472" s="679"/>
      <c r="E472" s="679"/>
      <c r="F472" s="679"/>
      <c r="G472" s="679"/>
      <c r="H472" s="679"/>
      <c r="I472" s="679"/>
      <c r="J472" s="679"/>
      <c r="K472" s="679"/>
      <c r="L472" s="680"/>
      <c r="M472" s="666"/>
      <c r="N472" s="667"/>
      <c r="O472" s="668"/>
      <c r="P472" s="681"/>
      <c r="Q472" s="682"/>
      <c r="R472" s="682"/>
      <c r="S472" s="682"/>
      <c r="T472" s="682"/>
      <c r="U472" s="682"/>
      <c r="V472" s="682"/>
      <c r="W472" s="683"/>
      <c r="X472" s="663" t="s">
        <v>1044</v>
      </c>
      <c r="Y472" s="664"/>
      <c r="Z472" s="664"/>
      <c r="AA472" s="665"/>
      <c r="AB472" s="165"/>
      <c r="AC472" s="663" t="s">
        <v>1045</v>
      </c>
      <c r="AD472" s="664"/>
      <c r="AE472" s="664"/>
      <c r="AF472" s="665"/>
      <c r="AG472" s="165"/>
      <c r="AH472" s="463"/>
      <c r="AI472" s="558"/>
      <c r="AJ472" s="557"/>
      <c r="AK472" s="556" t="b">
        <f>IF(AF125="X",IF(M472&gt;="Yes", IF(COUNTA(P472)&gt;0,1,2),IF(M472="No",1,2)))</f>
        <v>0</v>
      </c>
      <c r="AL472" s="556"/>
    </row>
    <row r="473" spans="1:38" ht="14.25" customHeight="1" thickBot="1" x14ac:dyDescent="0.25">
      <c r="A473" s="562"/>
      <c r="B473" s="337"/>
      <c r="C473" s="684" t="s">
        <v>301</v>
      </c>
      <c r="D473" s="685"/>
      <c r="E473" s="685"/>
      <c r="F473" s="685"/>
      <c r="G473" s="685"/>
      <c r="H473" s="685"/>
      <c r="I473" s="685"/>
      <c r="J473" s="685"/>
      <c r="K473" s="685"/>
      <c r="L473" s="686"/>
      <c r="M473" s="669"/>
      <c r="N473" s="670"/>
      <c r="O473" s="671"/>
      <c r="P473" s="681"/>
      <c r="Q473" s="682"/>
      <c r="R473" s="682"/>
      <c r="S473" s="682"/>
      <c r="T473" s="682"/>
      <c r="U473" s="682"/>
      <c r="V473" s="682"/>
      <c r="W473" s="683"/>
      <c r="X473" s="663" t="s">
        <v>1044</v>
      </c>
      <c r="Y473" s="664"/>
      <c r="Z473" s="664"/>
      <c r="AA473" s="665"/>
      <c r="AB473" s="165"/>
      <c r="AC473" s="663" t="s">
        <v>1045</v>
      </c>
      <c r="AD473" s="664"/>
      <c r="AE473" s="664"/>
      <c r="AF473" s="665"/>
      <c r="AG473" s="165"/>
      <c r="AH473" s="463"/>
      <c r="AI473" s="558"/>
      <c r="AJ473" s="557"/>
      <c r="AK473" s="556"/>
      <c r="AL473" s="556"/>
    </row>
    <row r="474" spans="1:38" ht="16.5" customHeight="1" thickBot="1" x14ac:dyDescent="0.25">
      <c r="A474" s="562"/>
      <c r="B474" s="337"/>
      <c r="C474" s="675" t="s">
        <v>208</v>
      </c>
      <c r="D474" s="676"/>
      <c r="E474" s="676"/>
      <c r="F474" s="676"/>
      <c r="G474" s="676"/>
      <c r="H474" s="676"/>
      <c r="I474" s="676"/>
      <c r="J474" s="676"/>
      <c r="K474" s="676"/>
      <c r="L474" s="677"/>
      <c r="M474" s="672"/>
      <c r="N474" s="673"/>
      <c r="O474" s="674"/>
      <c r="P474" s="681"/>
      <c r="Q474" s="682"/>
      <c r="R474" s="682"/>
      <c r="S474" s="682"/>
      <c r="T474" s="682"/>
      <c r="U474" s="682"/>
      <c r="V474" s="682"/>
      <c r="W474" s="683"/>
      <c r="X474" s="1130" t="s">
        <v>1044</v>
      </c>
      <c r="Y474" s="1131"/>
      <c r="Z474" s="1131"/>
      <c r="AA474" s="1132"/>
      <c r="AB474" s="165"/>
      <c r="AC474" s="663" t="s">
        <v>1045</v>
      </c>
      <c r="AD474" s="664"/>
      <c r="AE474" s="664"/>
      <c r="AF474" s="665"/>
      <c r="AG474" s="165"/>
      <c r="AH474" s="463"/>
      <c r="AI474" s="558"/>
      <c r="AJ474" s="557"/>
      <c r="AK474" s="556"/>
      <c r="AL474" s="556"/>
    </row>
    <row r="475" spans="1:38" ht="17.25" customHeight="1" thickBot="1" x14ac:dyDescent="0.25">
      <c r="A475" s="562"/>
      <c r="B475" s="337"/>
      <c r="C475" s="705" t="s">
        <v>1046</v>
      </c>
      <c r="D475" s="706"/>
      <c r="E475" s="706"/>
      <c r="F475" s="706"/>
      <c r="G475" s="706"/>
      <c r="H475" s="706"/>
      <c r="I475" s="706"/>
      <c r="J475" s="706"/>
      <c r="K475" s="706"/>
      <c r="L475" s="707"/>
      <c r="M475" s="666"/>
      <c r="N475" s="667"/>
      <c r="O475" s="668"/>
      <c r="P475" s="699"/>
      <c r="Q475" s="700"/>
      <c r="R475" s="700"/>
      <c r="S475" s="700"/>
      <c r="T475" s="700"/>
      <c r="U475" s="700"/>
      <c r="V475" s="700"/>
      <c r="W475" s="701"/>
      <c r="X475" s="702" t="s">
        <v>1046</v>
      </c>
      <c r="Y475" s="703"/>
      <c r="Z475" s="703"/>
      <c r="AA475" s="704"/>
      <c r="AB475" s="165"/>
      <c r="AC475" s="696" t="s">
        <v>1047</v>
      </c>
      <c r="AD475" s="697"/>
      <c r="AE475" s="697"/>
      <c r="AF475" s="698"/>
      <c r="AG475" s="165"/>
      <c r="AH475" s="463"/>
      <c r="AI475" s="558"/>
      <c r="AJ475" s="557"/>
      <c r="AK475" s="556" t="b">
        <f>IF(AF125="X",IF(M475&gt;="Yes", IF(COUNTA(P475)&gt;0,1,2),IF(M475="No",1,2)))</f>
        <v>0</v>
      </c>
      <c r="AL475" s="556"/>
    </row>
    <row r="476" spans="1:38" ht="15" customHeight="1" thickBot="1" x14ac:dyDescent="0.25">
      <c r="A476" s="562"/>
      <c r="B476" s="337"/>
      <c r="C476" s="708"/>
      <c r="D476" s="709"/>
      <c r="E476" s="709"/>
      <c r="F476" s="709"/>
      <c r="G476" s="709"/>
      <c r="H476" s="709"/>
      <c r="I476" s="709"/>
      <c r="J476" s="709"/>
      <c r="K476" s="709"/>
      <c r="L476" s="710"/>
      <c r="M476" s="669"/>
      <c r="N476" s="670"/>
      <c r="O476" s="671"/>
      <c r="P476" s="699"/>
      <c r="Q476" s="700"/>
      <c r="R476" s="700"/>
      <c r="S476" s="700"/>
      <c r="T476" s="700"/>
      <c r="U476" s="700"/>
      <c r="V476" s="700"/>
      <c r="W476" s="701"/>
      <c r="X476" s="702" t="s">
        <v>1046</v>
      </c>
      <c r="Y476" s="703"/>
      <c r="Z476" s="703"/>
      <c r="AA476" s="704"/>
      <c r="AB476" s="165"/>
      <c r="AC476" s="696" t="s">
        <v>1047</v>
      </c>
      <c r="AD476" s="697"/>
      <c r="AE476" s="697"/>
      <c r="AF476" s="698"/>
      <c r="AG476" s="165"/>
      <c r="AH476" s="463"/>
      <c r="AI476" s="558"/>
      <c r="AJ476" s="557"/>
      <c r="AK476" s="556"/>
      <c r="AL476" s="556"/>
    </row>
    <row r="477" spans="1:38" ht="15" customHeight="1" thickBot="1" x14ac:dyDescent="0.25">
      <c r="A477" s="562"/>
      <c r="B477" s="337"/>
      <c r="C477" s="1150" t="s">
        <v>210</v>
      </c>
      <c r="D477" s="1151"/>
      <c r="E477" s="1151"/>
      <c r="F477" s="1151"/>
      <c r="G477" s="1151"/>
      <c r="H477" s="1151"/>
      <c r="I477" s="1151"/>
      <c r="J477" s="1151"/>
      <c r="K477" s="1151"/>
      <c r="L477" s="1152"/>
      <c r="M477" s="669"/>
      <c r="N477" s="670"/>
      <c r="O477" s="671"/>
      <c r="P477" s="699"/>
      <c r="Q477" s="700"/>
      <c r="R477" s="700"/>
      <c r="S477" s="700"/>
      <c r="T477" s="700"/>
      <c r="U477" s="700"/>
      <c r="V477" s="700"/>
      <c r="W477" s="701"/>
      <c r="X477" s="702" t="s">
        <v>1046</v>
      </c>
      <c r="Y477" s="703"/>
      <c r="Z477" s="703"/>
      <c r="AA477" s="704"/>
      <c r="AB477" s="165"/>
      <c r="AC477" s="696" t="s">
        <v>1047</v>
      </c>
      <c r="AD477" s="697"/>
      <c r="AE477" s="697"/>
      <c r="AF477" s="698"/>
      <c r="AG477" s="165"/>
      <c r="AH477" s="463"/>
      <c r="AI477" s="558"/>
      <c r="AJ477" s="557"/>
      <c r="AK477" s="556"/>
      <c r="AL477" s="556"/>
    </row>
    <row r="478" spans="1:38" ht="14.25" customHeight="1" thickBot="1" x14ac:dyDescent="0.25">
      <c r="A478" s="562"/>
      <c r="B478" s="337"/>
      <c r="C478" s="693" t="s">
        <v>209</v>
      </c>
      <c r="D478" s="694"/>
      <c r="E478" s="694"/>
      <c r="F478" s="694"/>
      <c r="G478" s="694"/>
      <c r="H478" s="694"/>
      <c r="I478" s="694"/>
      <c r="J478" s="694"/>
      <c r="K478" s="694"/>
      <c r="L478" s="695"/>
      <c r="M478" s="672"/>
      <c r="N478" s="673"/>
      <c r="O478" s="674"/>
      <c r="P478" s="699"/>
      <c r="Q478" s="700"/>
      <c r="R478" s="700"/>
      <c r="S478" s="700"/>
      <c r="T478" s="700"/>
      <c r="U478" s="700"/>
      <c r="V478" s="700"/>
      <c r="W478" s="701"/>
      <c r="X478" s="702" t="s">
        <v>1046</v>
      </c>
      <c r="Y478" s="703"/>
      <c r="Z478" s="703"/>
      <c r="AA478" s="704"/>
      <c r="AB478" s="165"/>
      <c r="AC478" s="696" t="s">
        <v>1047</v>
      </c>
      <c r="AD478" s="697"/>
      <c r="AE478" s="697"/>
      <c r="AF478" s="698"/>
      <c r="AG478" s="165"/>
      <c r="AH478" s="463"/>
      <c r="AI478" s="558"/>
      <c r="AJ478" s="557"/>
      <c r="AK478" s="556"/>
      <c r="AL478" s="556"/>
    </row>
    <row r="479" spans="1:38" ht="14.25" customHeight="1" x14ac:dyDescent="0.2">
      <c r="A479" s="562"/>
      <c r="B479" s="337"/>
      <c r="C479" s="10" t="s">
        <v>509</v>
      </c>
      <c r="D479" s="325"/>
      <c r="E479" s="325"/>
      <c r="F479" s="325"/>
      <c r="G479" s="325"/>
      <c r="H479" s="325"/>
      <c r="I479" s="325"/>
      <c r="J479" s="325"/>
      <c r="K479" s="325"/>
      <c r="L479" s="325"/>
      <c r="M479" s="325"/>
      <c r="N479" s="325"/>
      <c r="O479" s="325"/>
      <c r="P479" s="325"/>
      <c r="Q479" s="325"/>
      <c r="R479" s="325"/>
      <c r="S479" s="325"/>
      <c r="T479" s="325"/>
      <c r="U479" s="325"/>
      <c r="V479" s="325"/>
      <c r="W479" s="325"/>
      <c r="X479" s="325"/>
      <c r="Y479" s="325"/>
      <c r="Z479" s="325"/>
      <c r="AA479" s="325"/>
      <c r="AB479" s="325"/>
      <c r="AC479" s="325"/>
      <c r="AD479" s="325"/>
      <c r="AE479" s="325"/>
      <c r="AF479" s="325"/>
      <c r="AG479" s="325"/>
      <c r="AH479" s="253" t="s">
        <v>680</v>
      </c>
      <c r="AI479" s="558"/>
      <c r="AJ479" s="557"/>
      <c r="AK479" s="556"/>
      <c r="AL479" s="556"/>
    </row>
    <row r="480" spans="1:38" ht="12.6" customHeight="1" x14ac:dyDescent="0.2">
      <c r="A480" s="562"/>
      <c r="B480" s="337"/>
      <c r="C480" s="687" t="s">
        <v>859</v>
      </c>
      <c r="D480" s="688"/>
      <c r="E480" s="688"/>
      <c r="F480" s="688"/>
      <c r="G480" s="688"/>
      <c r="H480" s="688"/>
      <c r="I480" s="688"/>
      <c r="J480" s="688"/>
      <c r="K480" s="688"/>
      <c r="L480" s="689"/>
      <c r="M480" s="1248" t="s">
        <v>860</v>
      </c>
      <c r="N480" s="1561"/>
      <c r="O480" s="1562"/>
      <c r="P480" s="687" t="s">
        <v>324</v>
      </c>
      <c r="Q480" s="688"/>
      <c r="R480" s="688"/>
      <c r="S480" s="688"/>
      <c r="T480" s="688"/>
      <c r="U480" s="688"/>
      <c r="V480" s="688"/>
      <c r="W480" s="688"/>
      <c r="X480" s="688"/>
      <c r="Y480" s="688"/>
      <c r="Z480" s="688"/>
      <c r="AA480" s="688"/>
      <c r="AB480" s="688"/>
      <c r="AC480" s="688"/>
      <c r="AD480" s="688"/>
      <c r="AE480" s="688"/>
      <c r="AF480" s="688"/>
      <c r="AG480" s="689"/>
      <c r="AH480" s="464"/>
      <c r="AI480" s="558">
        <f>IF(M482&gt;="N",1,0)+IF(M483&gt;="N",1,0)+IF(M484&gt;="N",1,0)+IF(M486&gt;="N",1,0)+IF(M488&gt;="N",1,0)+IF(M490&gt;="N",1,0)+IF(M495&gt;="N",1,0)+IF(M501&gt;="N",1,0)+IF(M504&gt;="N",1,0)+IF(M507&gt;="N",1,0)+IF(M511&gt;="N",1,0)+IF(M515&gt;="N",1,0)+IF(M519&gt;="N",1,0)+IF(M523&gt;="N",1,0)+IF(M533&gt;="N",1,0)+IF(M534&gt;="N",1,0)</f>
        <v>0</v>
      </c>
      <c r="AJ480" s="557">
        <f>IF(AI480=16,1,0)</f>
        <v>0</v>
      </c>
      <c r="AK480" s="556"/>
      <c r="AL480" s="556"/>
    </row>
    <row r="481" spans="1:38" ht="12.6" customHeight="1" x14ac:dyDescent="0.2">
      <c r="A481" s="562"/>
      <c r="B481" s="337"/>
      <c r="C481" s="983"/>
      <c r="D481" s="984"/>
      <c r="E481" s="984"/>
      <c r="F481" s="984"/>
      <c r="G481" s="984"/>
      <c r="H481" s="984"/>
      <c r="I481" s="984"/>
      <c r="J481" s="984"/>
      <c r="K481" s="984"/>
      <c r="L481" s="985"/>
      <c r="M481" s="978" t="s">
        <v>202</v>
      </c>
      <c r="N481" s="984"/>
      <c r="O481" s="985"/>
      <c r="P481" s="690"/>
      <c r="Q481" s="691"/>
      <c r="R481" s="691"/>
      <c r="S481" s="691"/>
      <c r="T481" s="691"/>
      <c r="U481" s="691"/>
      <c r="V481" s="691"/>
      <c r="W481" s="691"/>
      <c r="X481" s="691"/>
      <c r="Y481" s="691"/>
      <c r="Z481" s="691"/>
      <c r="AA481" s="691"/>
      <c r="AB481" s="691"/>
      <c r="AC481" s="691"/>
      <c r="AD481" s="691"/>
      <c r="AE481" s="691"/>
      <c r="AF481" s="691"/>
      <c r="AG481" s="692"/>
      <c r="AH481" s="464"/>
      <c r="AI481" s="558"/>
      <c r="AJ481" s="557"/>
      <c r="AK481" s="556"/>
      <c r="AL481" s="556"/>
    </row>
    <row r="482" spans="1:38" ht="21.75" customHeight="1" x14ac:dyDescent="0.2">
      <c r="C482" s="1141" t="s">
        <v>1037</v>
      </c>
      <c r="D482" s="1142"/>
      <c r="E482" s="1142"/>
      <c r="F482" s="1143"/>
      <c r="G482" s="742" t="s">
        <v>266</v>
      </c>
      <c r="H482" s="743"/>
      <c r="I482" s="743"/>
      <c r="J482" s="743"/>
      <c r="K482" s="743"/>
      <c r="L482" s="744"/>
      <c r="M482" s="745"/>
      <c r="N482" s="746"/>
      <c r="O482" s="770"/>
      <c r="P482" s="722" t="s">
        <v>117</v>
      </c>
      <c r="Q482" s="723"/>
      <c r="R482" s="723"/>
      <c r="S482" s="723"/>
      <c r="T482" s="723"/>
      <c r="U482" s="723"/>
      <c r="V482" s="723"/>
      <c r="W482" s="723"/>
      <c r="X482" s="723"/>
      <c r="Y482" s="723"/>
      <c r="Z482" s="723"/>
      <c r="AA482" s="711"/>
      <c r="AB482" s="712"/>
      <c r="AC482" s="712"/>
      <c r="AD482" s="712"/>
      <c r="AE482" s="712"/>
      <c r="AF482" s="712"/>
      <c r="AG482" s="712"/>
      <c r="AH482" s="255"/>
      <c r="AI482" s="558"/>
      <c r="AJ482" s="557"/>
      <c r="AK482" s="556">
        <f>IF(AF125="X", IF(M482="Yes",IF(COUNTBLANK(AA482)&lt;1,1,2),IF(M482="No",1,2)),0)</f>
        <v>0</v>
      </c>
      <c r="AL482" s="556"/>
    </row>
    <row r="483" spans="1:38" ht="21.75" customHeight="1" x14ac:dyDescent="0.2">
      <c r="C483" s="1144"/>
      <c r="D483" s="1145"/>
      <c r="E483" s="1145"/>
      <c r="F483" s="1146"/>
      <c r="G483" s="727" t="s">
        <v>267</v>
      </c>
      <c r="H483" s="728"/>
      <c r="I483" s="728"/>
      <c r="J483" s="728"/>
      <c r="K483" s="728"/>
      <c r="L483" s="729"/>
      <c r="M483" s="745"/>
      <c r="N483" s="746"/>
      <c r="O483" s="747"/>
      <c r="P483" s="722" t="s">
        <v>117</v>
      </c>
      <c r="Q483" s="723"/>
      <c r="R483" s="723"/>
      <c r="S483" s="723"/>
      <c r="T483" s="723"/>
      <c r="U483" s="723"/>
      <c r="V483" s="723"/>
      <c r="W483" s="723"/>
      <c r="X483" s="723"/>
      <c r="Y483" s="723"/>
      <c r="Z483" s="724"/>
      <c r="AA483" s="713"/>
      <c r="AB483" s="714"/>
      <c r="AC483" s="714"/>
      <c r="AD483" s="714"/>
      <c r="AE483" s="714"/>
      <c r="AF483" s="714"/>
      <c r="AG483" s="715"/>
      <c r="AH483" s="222"/>
      <c r="AI483" s="558"/>
      <c r="AJ483" s="557"/>
      <c r="AK483" s="556">
        <f>IF(AF125="X", IF(M483="Yes",IF(COUNTBLANK(AA483)&lt;1,1,2),IF(M483="No",1,2)),0)</f>
        <v>0</v>
      </c>
      <c r="AL483" s="556"/>
    </row>
    <row r="484" spans="1:38" ht="15.75" customHeight="1" x14ac:dyDescent="0.2">
      <c r="C484" s="1144"/>
      <c r="D484" s="1145"/>
      <c r="E484" s="1145"/>
      <c r="F484" s="1146"/>
      <c r="G484" s="716" t="s">
        <v>218</v>
      </c>
      <c r="H484" s="717"/>
      <c r="I484" s="717"/>
      <c r="J484" s="717"/>
      <c r="K484" s="717"/>
      <c r="L484" s="718"/>
      <c r="M484" s="666"/>
      <c r="N484" s="667"/>
      <c r="O484" s="668"/>
      <c r="P484" s="1967" t="s">
        <v>465</v>
      </c>
      <c r="Q484" s="1968"/>
      <c r="R484" s="1968"/>
      <c r="S484" s="1968"/>
      <c r="T484" s="1969"/>
      <c r="U484" s="1964"/>
      <c r="V484" s="1965"/>
      <c r="W484" s="1965"/>
      <c r="X484" s="1965"/>
      <c r="Y484" s="1965"/>
      <c r="Z484" s="1965"/>
      <c r="AA484" s="1965"/>
      <c r="AB484" s="1965"/>
      <c r="AC484" s="1965"/>
      <c r="AD484" s="1965"/>
      <c r="AE484" s="1965"/>
      <c r="AF484" s="1965"/>
      <c r="AG484" s="1966"/>
      <c r="AH484" s="222"/>
      <c r="AI484" s="558"/>
      <c r="AJ484" s="557"/>
      <c r="AK484" s="556">
        <f>IF(AF125="X", IF(M484="Yes",IF(COUNTBLANK(U484)+COUNTBLANK(AA485)&lt;1,1,2),IF(M484="No",1,2)),0)</f>
        <v>0</v>
      </c>
      <c r="AL484" s="556"/>
    </row>
    <row r="485" spans="1:38" ht="15" customHeight="1" x14ac:dyDescent="0.2">
      <c r="C485" s="1147"/>
      <c r="D485" s="1148"/>
      <c r="E485" s="1148"/>
      <c r="F485" s="1149"/>
      <c r="G485" s="719"/>
      <c r="H485" s="720"/>
      <c r="I485" s="720"/>
      <c r="J485" s="720"/>
      <c r="K485" s="720"/>
      <c r="L485" s="721"/>
      <c r="M485" s="672"/>
      <c r="N485" s="673"/>
      <c r="O485" s="674"/>
      <c r="P485" s="722" t="s">
        <v>117</v>
      </c>
      <c r="Q485" s="723"/>
      <c r="R485" s="723"/>
      <c r="S485" s="723"/>
      <c r="T485" s="723"/>
      <c r="U485" s="723"/>
      <c r="V485" s="723"/>
      <c r="W485" s="723"/>
      <c r="X485" s="723"/>
      <c r="Y485" s="723"/>
      <c r="Z485" s="724"/>
      <c r="AA485" s="1705"/>
      <c r="AB485" s="1706"/>
      <c r="AC485" s="1706"/>
      <c r="AD485" s="1706"/>
      <c r="AE485" s="1706"/>
      <c r="AF485" s="1706"/>
      <c r="AG485" s="1707"/>
      <c r="AH485" s="222"/>
      <c r="AI485" s="558"/>
      <c r="AJ485" s="557"/>
      <c r="AK485" s="556"/>
      <c r="AL485" s="556"/>
    </row>
    <row r="486" spans="1:38" ht="14.25" customHeight="1" x14ac:dyDescent="0.2">
      <c r="C486" s="654" t="s">
        <v>216</v>
      </c>
      <c r="D486" s="655"/>
      <c r="E486" s="655"/>
      <c r="F486" s="655"/>
      <c r="G486" s="655"/>
      <c r="H486" s="655"/>
      <c r="I486" s="655"/>
      <c r="J486" s="655"/>
      <c r="K486" s="655"/>
      <c r="L486" s="656"/>
      <c r="M486" s="666"/>
      <c r="N486" s="667"/>
      <c r="O486" s="668"/>
      <c r="P486" s="1979" t="s">
        <v>117</v>
      </c>
      <c r="Q486" s="1980"/>
      <c r="R486" s="1980"/>
      <c r="S486" s="1980"/>
      <c r="T486" s="1980"/>
      <c r="U486" s="1980"/>
      <c r="V486" s="1980"/>
      <c r="W486" s="1980"/>
      <c r="X486" s="1980"/>
      <c r="Y486" s="1980"/>
      <c r="Z486" s="1981"/>
      <c r="AA486" s="1973"/>
      <c r="AB486" s="1974"/>
      <c r="AC486" s="1974"/>
      <c r="AD486" s="1974"/>
      <c r="AE486" s="1974"/>
      <c r="AF486" s="1974"/>
      <c r="AG486" s="1975"/>
      <c r="AH486" s="222"/>
      <c r="AI486" s="558"/>
      <c r="AJ486" s="557"/>
      <c r="AK486" s="556"/>
      <c r="AL486" s="556"/>
    </row>
    <row r="487" spans="1:38" ht="11.25" customHeight="1" x14ac:dyDescent="0.2">
      <c r="C487" s="1895" t="s">
        <v>217</v>
      </c>
      <c r="D487" s="1896"/>
      <c r="E487" s="1896"/>
      <c r="F487" s="1896"/>
      <c r="G487" s="1896"/>
      <c r="H487" s="1896"/>
      <c r="I487" s="1896"/>
      <c r="J487" s="1896"/>
      <c r="K487" s="1896"/>
      <c r="L487" s="1897"/>
      <c r="M487" s="672"/>
      <c r="N487" s="673"/>
      <c r="O487" s="674"/>
      <c r="P487" s="1982"/>
      <c r="Q487" s="1983"/>
      <c r="R487" s="1983"/>
      <c r="S487" s="1983"/>
      <c r="T487" s="1983"/>
      <c r="U487" s="1983"/>
      <c r="V487" s="1983"/>
      <c r="W487" s="1983"/>
      <c r="X487" s="1983"/>
      <c r="Y487" s="1983"/>
      <c r="Z487" s="1984"/>
      <c r="AA487" s="1976"/>
      <c r="AB487" s="1977"/>
      <c r="AC487" s="1977"/>
      <c r="AD487" s="1977"/>
      <c r="AE487" s="1977"/>
      <c r="AF487" s="1977"/>
      <c r="AG487" s="1978"/>
      <c r="AH487" s="222"/>
      <c r="AI487" s="558"/>
      <c r="AJ487" s="557"/>
      <c r="AK487" s="556">
        <f>IF(AF125="X", IF(M486="Yes",IF(COUNTBLANK(AA486)&lt;1,1,2),IF(M486="No",1,2)),0)</f>
        <v>0</v>
      </c>
      <c r="AL487" s="556"/>
    </row>
    <row r="488" spans="1:38" ht="15.75" customHeight="1" x14ac:dyDescent="0.2">
      <c r="C488" s="1141" t="s">
        <v>1038</v>
      </c>
      <c r="D488" s="1142"/>
      <c r="E488" s="1142"/>
      <c r="F488" s="1142"/>
      <c r="G488" s="1142"/>
      <c r="H488" s="1142"/>
      <c r="I488" s="1142"/>
      <c r="J488" s="1142"/>
      <c r="K488" s="1142"/>
      <c r="L488" s="1143"/>
      <c r="M488" s="666"/>
      <c r="N488" s="667"/>
      <c r="O488" s="668"/>
      <c r="P488" s="1134" t="s">
        <v>477</v>
      </c>
      <c r="Q488" s="1135"/>
      <c r="R488" s="1135"/>
      <c r="S488" s="1135"/>
      <c r="T488" s="1135"/>
      <c r="U488" s="1135"/>
      <c r="V488" s="1135"/>
      <c r="W488" s="1135"/>
      <c r="X488" s="1135"/>
      <c r="Y488" s="1135"/>
      <c r="Z488" s="1136"/>
      <c r="AA488" s="1705"/>
      <c r="AB488" s="1706"/>
      <c r="AC488" s="1706"/>
      <c r="AD488" s="1706"/>
      <c r="AE488" s="1706"/>
      <c r="AF488" s="1706"/>
      <c r="AG488" s="1707"/>
      <c r="AH488" s="222"/>
      <c r="AI488" s="558"/>
      <c r="AJ488" s="557"/>
      <c r="AK488" s="556">
        <f>IF(AF125="X", IF(M488="Yes",IF(COUNTBLANK(AA488:AA489)&lt;1,1,2),IF(M488="No",1,2)),0)</f>
        <v>0</v>
      </c>
      <c r="AL488" s="556"/>
    </row>
    <row r="489" spans="1:38" ht="15" customHeight="1" x14ac:dyDescent="0.2">
      <c r="A489" s="573"/>
      <c r="C489" s="1147"/>
      <c r="D489" s="1148"/>
      <c r="E489" s="1148"/>
      <c r="F489" s="1148"/>
      <c r="G489" s="1148"/>
      <c r="H489" s="1148"/>
      <c r="I489" s="1148"/>
      <c r="J489" s="1148"/>
      <c r="K489" s="1148"/>
      <c r="L489" s="1149"/>
      <c r="M489" s="672"/>
      <c r="N489" s="673"/>
      <c r="O489" s="674"/>
      <c r="P489" s="1134" t="s">
        <v>119</v>
      </c>
      <c r="Q489" s="1135"/>
      <c r="R489" s="1135"/>
      <c r="S489" s="1135"/>
      <c r="T489" s="1135"/>
      <c r="U489" s="1135"/>
      <c r="V489" s="1135"/>
      <c r="W489" s="1135"/>
      <c r="X489" s="1135"/>
      <c r="Y489" s="1135"/>
      <c r="Z489" s="1136"/>
      <c r="AA489" s="1961"/>
      <c r="AB489" s="1962"/>
      <c r="AC489" s="1962"/>
      <c r="AD489" s="1962"/>
      <c r="AE489" s="1962"/>
      <c r="AF489" s="1962"/>
      <c r="AG489" s="1963"/>
      <c r="AH489" s="222"/>
      <c r="AI489" s="558"/>
      <c r="AJ489" s="557"/>
      <c r="AK489" s="556"/>
      <c r="AL489" s="556"/>
    </row>
    <row r="490" spans="1:38" ht="12" customHeight="1" x14ac:dyDescent="0.2">
      <c r="A490" s="554">
        <f>IF(M490="Yes",1,0)</f>
        <v>0</v>
      </c>
      <c r="C490" s="1952" t="s">
        <v>1039</v>
      </c>
      <c r="D490" s="1953"/>
      <c r="E490" s="1953"/>
      <c r="F490" s="1954"/>
      <c r="G490" s="1910" t="s">
        <v>1040</v>
      </c>
      <c r="H490" s="1911"/>
      <c r="I490" s="1911"/>
      <c r="J490" s="1911"/>
      <c r="K490" s="1911"/>
      <c r="L490" s="1912"/>
      <c r="M490" s="1563"/>
      <c r="N490" s="667"/>
      <c r="O490" s="1564"/>
      <c r="P490" s="1951" t="s">
        <v>213</v>
      </c>
      <c r="Q490" s="1856"/>
      <c r="R490" s="1856"/>
      <c r="S490" s="1856"/>
      <c r="T490" s="1860"/>
      <c r="U490" s="739"/>
      <c r="V490" s="740"/>
      <c r="W490" s="740"/>
      <c r="X490" s="740"/>
      <c r="Y490" s="740"/>
      <c r="Z490" s="740"/>
      <c r="AA490" s="740"/>
      <c r="AB490" s="740"/>
      <c r="AC490" s="740"/>
      <c r="AD490" s="740"/>
      <c r="AE490" s="740"/>
      <c r="AF490" s="740"/>
      <c r="AG490" s="741"/>
      <c r="AH490" s="222"/>
      <c r="AI490" s="558"/>
      <c r="AJ490" s="557"/>
      <c r="AK490" s="556">
        <f>IF(AF125="X", IF(M490="Yes",IF(COUNTBLANK(U490)&lt;1,1,2),IF(M490="No",1,2)),0)</f>
        <v>0</v>
      </c>
      <c r="AL490" s="556"/>
    </row>
    <row r="491" spans="1:38" ht="12" customHeight="1" x14ac:dyDescent="0.2">
      <c r="C491" s="1955"/>
      <c r="D491" s="1956"/>
      <c r="E491" s="1956"/>
      <c r="F491" s="1957"/>
      <c r="G491" s="1913"/>
      <c r="H491" s="1914"/>
      <c r="I491" s="1914"/>
      <c r="J491" s="1914"/>
      <c r="K491" s="1914"/>
      <c r="L491" s="1915"/>
      <c r="M491" s="1565"/>
      <c r="N491" s="670"/>
      <c r="O491" s="1566"/>
      <c r="P491" s="1898"/>
      <c r="Q491" s="1899"/>
      <c r="R491" s="1899"/>
      <c r="S491" s="1899"/>
      <c r="T491" s="1900"/>
      <c r="U491" s="739"/>
      <c r="V491" s="740"/>
      <c r="W491" s="740"/>
      <c r="X491" s="740"/>
      <c r="Y491" s="740"/>
      <c r="Z491" s="740"/>
      <c r="AA491" s="740"/>
      <c r="AB491" s="740"/>
      <c r="AC491" s="740"/>
      <c r="AD491" s="740"/>
      <c r="AE491" s="740"/>
      <c r="AF491" s="740"/>
      <c r="AG491" s="741"/>
      <c r="AH491" s="222"/>
      <c r="AI491" s="558"/>
      <c r="AJ491" s="557"/>
      <c r="AK491" s="556"/>
      <c r="AL491" s="556"/>
    </row>
    <row r="492" spans="1:38" ht="14.45" customHeight="1" x14ac:dyDescent="0.2">
      <c r="C492" s="1955"/>
      <c r="D492" s="1956"/>
      <c r="E492" s="1956"/>
      <c r="F492" s="1957"/>
      <c r="G492" s="1913"/>
      <c r="H492" s="1914"/>
      <c r="I492" s="1914"/>
      <c r="J492" s="1914"/>
      <c r="K492" s="1914"/>
      <c r="L492" s="1915"/>
      <c r="M492" s="1565"/>
      <c r="N492" s="670"/>
      <c r="O492" s="1566"/>
      <c r="P492" s="288" t="s">
        <v>212</v>
      </c>
      <c r="Q492" s="289"/>
      <c r="R492" s="289"/>
      <c r="S492" s="289"/>
      <c r="T492" s="289"/>
      <c r="U492" s="289"/>
      <c r="V492" s="289"/>
      <c r="W492" s="289"/>
      <c r="X492" s="289"/>
      <c r="Y492" s="289"/>
      <c r="Z492" s="289"/>
      <c r="AA492" s="289"/>
      <c r="AB492" s="289"/>
      <c r="AC492" s="289"/>
      <c r="AD492" s="745"/>
      <c r="AE492" s="770"/>
      <c r="AF492" s="285" t="s">
        <v>697</v>
      </c>
      <c r="AG492" s="284"/>
      <c r="AH492" s="222"/>
      <c r="AI492" s="558"/>
      <c r="AJ492" s="557"/>
      <c r="AK492" s="556"/>
      <c r="AL492" s="556"/>
    </row>
    <row r="493" spans="1:38" ht="14.25" customHeight="1" x14ac:dyDescent="0.2">
      <c r="C493" s="1955"/>
      <c r="D493" s="1956"/>
      <c r="E493" s="1956"/>
      <c r="F493" s="1957"/>
      <c r="G493" s="1913"/>
      <c r="H493" s="1914"/>
      <c r="I493" s="1914"/>
      <c r="J493" s="1914"/>
      <c r="K493" s="1914"/>
      <c r="L493" s="1915"/>
      <c r="M493" s="1565"/>
      <c r="N493" s="670"/>
      <c r="O493" s="1566"/>
      <c r="P493" s="1898" t="s">
        <v>214</v>
      </c>
      <c r="Q493" s="1899"/>
      <c r="R493" s="1899"/>
      <c r="S493" s="1899"/>
      <c r="T493" s="1899"/>
      <c r="U493" s="1899"/>
      <c r="V493" s="1899"/>
      <c r="W493" s="1899"/>
      <c r="X493" s="1899"/>
      <c r="Y493" s="1899"/>
      <c r="Z493" s="1899"/>
      <c r="AA493" s="1899"/>
      <c r="AB493" s="1899"/>
      <c r="AC493" s="1899"/>
      <c r="AD493" s="1899"/>
      <c r="AE493" s="1899"/>
      <c r="AF493" s="1899"/>
      <c r="AG493" s="1900"/>
      <c r="AH493" s="222"/>
      <c r="AI493" s="558"/>
      <c r="AJ493" s="557"/>
      <c r="AK493" s="556"/>
      <c r="AL493" s="556"/>
    </row>
    <row r="494" spans="1:38" ht="14.25" customHeight="1" x14ac:dyDescent="0.2">
      <c r="C494" s="1955"/>
      <c r="D494" s="1956"/>
      <c r="E494" s="1956"/>
      <c r="F494" s="1957"/>
      <c r="G494" s="1916"/>
      <c r="H494" s="1917"/>
      <c r="I494" s="1917"/>
      <c r="J494" s="1917"/>
      <c r="K494" s="1917"/>
      <c r="L494" s="1918"/>
      <c r="M494" s="1565"/>
      <c r="N494" s="670"/>
      <c r="O494" s="1566"/>
      <c r="P494" s="1901"/>
      <c r="Q494" s="1902"/>
      <c r="R494" s="1902"/>
      <c r="S494" s="1902"/>
      <c r="T494" s="1902"/>
      <c r="U494" s="1902"/>
      <c r="V494" s="1902"/>
      <c r="W494" s="1902"/>
      <c r="X494" s="1902"/>
      <c r="Y494" s="1902"/>
      <c r="Z494" s="1902"/>
      <c r="AA494" s="1902"/>
      <c r="AB494" s="1902"/>
      <c r="AC494" s="1902"/>
      <c r="AD494" s="1902"/>
      <c r="AE494" s="1902"/>
      <c r="AF494" s="1902"/>
      <c r="AG494" s="1903"/>
      <c r="AH494" s="222"/>
      <c r="AI494" s="558"/>
      <c r="AJ494" s="557"/>
      <c r="AK494" s="556"/>
      <c r="AL494" s="556"/>
    </row>
    <row r="495" spans="1:38" ht="13.5" customHeight="1" x14ac:dyDescent="0.2">
      <c r="C495" s="1955"/>
      <c r="D495" s="1956"/>
      <c r="E495" s="1956"/>
      <c r="F495" s="1957"/>
      <c r="G495" s="1910" t="s">
        <v>1041</v>
      </c>
      <c r="H495" s="1911"/>
      <c r="I495" s="1911"/>
      <c r="J495" s="1911"/>
      <c r="K495" s="1911"/>
      <c r="L495" s="1911"/>
      <c r="M495" s="1563"/>
      <c r="N495" s="667"/>
      <c r="O495" s="1564"/>
      <c r="P495" s="1951" t="s">
        <v>213</v>
      </c>
      <c r="Q495" s="1856"/>
      <c r="R495" s="1856"/>
      <c r="S495" s="1856"/>
      <c r="T495" s="1860"/>
      <c r="U495" s="739"/>
      <c r="V495" s="740"/>
      <c r="W495" s="740"/>
      <c r="X495" s="740"/>
      <c r="Y495" s="740"/>
      <c r="Z495" s="740"/>
      <c r="AA495" s="740"/>
      <c r="AB495" s="740"/>
      <c r="AC495" s="740"/>
      <c r="AD495" s="740"/>
      <c r="AE495" s="740"/>
      <c r="AF495" s="740"/>
      <c r="AG495" s="741"/>
      <c r="AH495" s="222"/>
      <c r="AI495" s="558"/>
      <c r="AJ495" s="557"/>
      <c r="AK495" s="556">
        <f>IF(AF125="X", IF(M495="Yes",IF(COUNTBLANK(U495)&lt;1,1,2),IF(M495="No",1,2)),0)</f>
        <v>0</v>
      </c>
      <c r="AL495" s="556"/>
    </row>
    <row r="496" spans="1:38" ht="12.75" customHeight="1" x14ac:dyDescent="0.2">
      <c r="C496" s="1955"/>
      <c r="D496" s="1956"/>
      <c r="E496" s="1956"/>
      <c r="F496" s="1957"/>
      <c r="G496" s="1913"/>
      <c r="H496" s="1914"/>
      <c r="I496" s="1914"/>
      <c r="J496" s="1914"/>
      <c r="K496" s="1914"/>
      <c r="L496" s="1914"/>
      <c r="M496" s="1565"/>
      <c r="N496" s="670"/>
      <c r="O496" s="1566"/>
      <c r="P496" s="1898"/>
      <c r="Q496" s="1899"/>
      <c r="R496" s="1899"/>
      <c r="S496" s="1899"/>
      <c r="T496" s="1900"/>
      <c r="U496" s="739"/>
      <c r="V496" s="740"/>
      <c r="W496" s="740"/>
      <c r="X496" s="740"/>
      <c r="Y496" s="740"/>
      <c r="Z496" s="740"/>
      <c r="AA496" s="740"/>
      <c r="AB496" s="740"/>
      <c r="AC496" s="740"/>
      <c r="AD496" s="740"/>
      <c r="AE496" s="740"/>
      <c r="AF496" s="740"/>
      <c r="AG496" s="741"/>
      <c r="AH496" s="222"/>
      <c r="AI496" s="558"/>
      <c r="AJ496" s="557"/>
      <c r="AK496" s="556"/>
      <c r="AL496" s="556"/>
    </row>
    <row r="497" spans="2:39" ht="14.25" customHeight="1" x14ac:dyDescent="0.2">
      <c r="C497" s="1955"/>
      <c r="D497" s="1956"/>
      <c r="E497" s="1956"/>
      <c r="F497" s="1957"/>
      <c r="G497" s="1913"/>
      <c r="H497" s="1914"/>
      <c r="I497" s="1914"/>
      <c r="J497" s="1914"/>
      <c r="K497" s="1914"/>
      <c r="L497" s="1914"/>
      <c r="M497" s="1565"/>
      <c r="N497" s="670"/>
      <c r="O497" s="1566"/>
      <c r="P497" s="289" t="s">
        <v>215</v>
      </c>
      <c r="Q497" s="289"/>
      <c r="R497" s="289"/>
      <c r="S497" s="289"/>
      <c r="T497" s="289"/>
      <c r="U497" s="289"/>
      <c r="V497" s="289"/>
      <c r="W497" s="289"/>
      <c r="X497" s="289"/>
      <c r="Y497" s="289"/>
      <c r="Z497" s="289"/>
      <c r="AA497" s="289"/>
      <c r="AB497" s="289"/>
      <c r="AC497" s="289"/>
      <c r="AD497" s="745"/>
      <c r="AE497" s="770"/>
      <c r="AF497" s="285" t="s">
        <v>697</v>
      </c>
      <c r="AG497" s="284"/>
      <c r="AH497" s="222"/>
      <c r="AI497" s="558"/>
      <c r="AJ497" s="557"/>
      <c r="AK497" s="556"/>
      <c r="AL497" s="556"/>
    </row>
    <row r="498" spans="2:39" ht="13.9" customHeight="1" x14ac:dyDescent="0.2">
      <c r="C498" s="1955"/>
      <c r="D498" s="1956"/>
      <c r="E498" s="1956"/>
      <c r="F498" s="1957"/>
      <c r="G498" s="1913"/>
      <c r="H498" s="1914"/>
      <c r="I498" s="1914"/>
      <c r="J498" s="1914"/>
      <c r="K498" s="1914"/>
      <c r="L498" s="1914"/>
      <c r="M498" s="1565"/>
      <c r="N498" s="670"/>
      <c r="O498" s="1566"/>
      <c r="P498" s="288" t="s">
        <v>212</v>
      </c>
      <c r="Q498" s="289"/>
      <c r="R498" s="289"/>
      <c r="S498" s="289"/>
      <c r="T498" s="289"/>
      <c r="U498" s="289"/>
      <c r="V498" s="289"/>
      <c r="W498" s="289"/>
      <c r="X498" s="289"/>
      <c r="Y498" s="289"/>
      <c r="Z498" s="289"/>
      <c r="AA498" s="289"/>
      <c r="AB498" s="289"/>
      <c r="AC498" s="289"/>
      <c r="AD498" s="745"/>
      <c r="AE498" s="770"/>
      <c r="AF498" s="285" t="s">
        <v>697</v>
      </c>
      <c r="AG498" s="284"/>
      <c r="AH498" s="222"/>
      <c r="AI498" s="558"/>
      <c r="AJ498" s="557"/>
      <c r="AK498" s="556"/>
      <c r="AL498" s="556"/>
    </row>
    <row r="499" spans="2:39" ht="15" customHeight="1" x14ac:dyDescent="0.2">
      <c r="C499" s="1955"/>
      <c r="D499" s="1956"/>
      <c r="E499" s="1956"/>
      <c r="F499" s="1957"/>
      <c r="G499" s="1913"/>
      <c r="H499" s="1914"/>
      <c r="I499" s="1914"/>
      <c r="J499" s="1914"/>
      <c r="K499" s="1914"/>
      <c r="L499" s="1914"/>
      <c r="M499" s="1565"/>
      <c r="N499" s="670"/>
      <c r="O499" s="1566"/>
      <c r="P499" s="1898" t="s">
        <v>214</v>
      </c>
      <c r="Q499" s="1899"/>
      <c r="R499" s="1899"/>
      <c r="S499" s="1899"/>
      <c r="T499" s="1899"/>
      <c r="U499" s="1899"/>
      <c r="V499" s="1899"/>
      <c r="W499" s="1899"/>
      <c r="X499" s="1899"/>
      <c r="Y499" s="1899"/>
      <c r="Z499" s="1899"/>
      <c r="AA499" s="1899"/>
      <c r="AB499" s="1899"/>
      <c r="AC499" s="1899"/>
      <c r="AD499" s="1899"/>
      <c r="AE499" s="1899"/>
      <c r="AF499" s="1899"/>
      <c r="AG499" s="1900"/>
      <c r="AH499" s="222"/>
      <c r="AI499" s="558"/>
      <c r="AJ499" s="557"/>
      <c r="AK499" s="556"/>
      <c r="AL499" s="556"/>
    </row>
    <row r="500" spans="2:39" ht="14.25" customHeight="1" x14ac:dyDescent="0.2">
      <c r="C500" s="1958"/>
      <c r="D500" s="1959"/>
      <c r="E500" s="1959"/>
      <c r="F500" s="1960"/>
      <c r="G500" s="1916"/>
      <c r="H500" s="1917"/>
      <c r="I500" s="1917"/>
      <c r="J500" s="1917"/>
      <c r="K500" s="1917"/>
      <c r="L500" s="1917"/>
      <c r="M500" s="1565"/>
      <c r="N500" s="670"/>
      <c r="O500" s="1566"/>
      <c r="P500" s="1902"/>
      <c r="Q500" s="1902"/>
      <c r="R500" s="1902"/>
      <c r="S500" s="1902"/>
      <c r="T500" s="1902"/>
      <c r="U500" s="1902"/>
      <c r="V500" s="1902"/>
      <c r="W500" s="1902"/>
      <c r="X500" s="1902"/>
      <c r="Y500" s="1902"/>
      <c r="Z500" s="1902"/>
      <c r="AA500" s="1902"/>
      <c r="AB500" s="1902"/>
      <c r="AC500" s="1902"/>
      <c r="AD500" s="1902"/>
      <c r="AE500" s="1902"/>
      <c r="AF500" s="1902"/>
      <c r="AG500" s="1903"/>
      <c r="AH500" s="222"/>
      <c r="AI500" s="558"/>
      <c r="AJ500" s="557"/>
      <c r="AK500" s="556"/>
      <c r="AL500" s="556"/>
    </row>
    <row r="501" spans="2:39" ht="13.5" customHeight="1" x14ac:dyDescent="0.2">
      <c r="B501" s="350"/>
      <c r="C501" s="1888" t="s">
        <v>1048</v>
      </c>
      <c r="D501" s="731"/>
      <c r="E501" s="731"/>
      <c r="F501" s="1889"/>
      <c r="G501" s="730" t="s">
        <v>681</v>
      </c>
      <c r="H501" s="731"/>
      <c r="I501" s="731"/>
      <c r="J501" s="731"/>
      <c r="K501" s="731"/>
      <c r="L501" s="732"/>
      <c r="M501" s="666"/>
      <c r="N501" s="667"/>
      <c r="O501" s="668"/>
      <c r="P501" s="1863" t="s">
        <v>442</v>
      </c>
      <c r="Q501" s="1767"/>
      <c r="R501" s="1767"/>
      <c r="S501" s="1767"/>
      <c r="T501" s="1767"/>
      <c r="U501" s="1767"/>
      <c r="V501" s="1767"/>
      <c r="W501" s="1767"/>
      <c r="X501" s="1767"/>
      <c r="Y501" s="1767"/>
      <c r="Z501" s="1767"/>
      <c r="AA501" s="1767"/>
      <c r="AB501" s="1767"/>
      <c r="AC501" s="1767"/>
      <c r="AD501" s="1767"/>
      <c r="AE501" s="1767"/>
      <c r="AF501" s="1767"/>
      <c r="AG501" s="1768"/>
      <c r="AH501" s="222"/>
      <c r="AI501" s="596"/>
      <c r="AJ501" s="557"/>
      <c r="AK501" s="556">
        <f>IF(AF125="X", IF(M501="Yes",IF(COUNTBLANK(P502)&lt;1,1,2),IF(M501="No",1,2)),0)</f>
        <v>0</v>
      </c>
      <c r="AL501" s="556"/>
    </row>
    <row r="502" spans="2:39" ht="13.5" customHeight="1" x14ac:dyDescent="0.2">
      <c r="B502" s="351"/>
      <c r="C502" s="1890"/>
      <c r="D502" s="734"/>
      <c r="E502" s="734"/>
      <c r="F502" s="735"/>
      <c r="G502" s="733"/>
      <c r="H502" s="734"/>
      <c r="I502" s="734"/>
      <c r="J502" s="734"/>
      <c r="K502" s="734"/>
      <c r="L502" s="735"/>
      <c r="M502" s="669"/>
      <c r="N502" s="670"/>
      <c r="O502" s="671"/>
      <c r="P502" s="1875"/>
      <c r="Q502" s="1876"/>
      <c r="R502" s="1876"/>
      <c r="S502" s="1876"/>
      <c r="T502" s="1876"/>
      <c r="U502" s="1876"/>
      <c r="V502" s="1876"/>
      <c r="W502" s="1876"/>
      <c r="X502" s="1876"/>
      <c r="Y502" s="1876"/>
      <c r="Z502" s="1876"/>
      <c r="AA502" s="1876"/>
      <c r="AB502" s="1876"/>
      <c r="AC502" s="1876"/>
      <c r="AD502" s="1876"/>
      <c r="AE502" s="1876"/>
      <c r="AF502" s="1876"/>
      <c r="AG502" s="1877"/>
      <c r="AH502" s="222"/>
      <c r="AI502" s="596"/>
      <c r="AJ502" s="557"/>
      <c r="AK502" s="556"/>
      <c r="AL502" s="556"/>
      <c r="AM502" s="384"/>
    </row>
    <row r="503" spans="2:39" ht="15" customHeight="1" x14ac:dyDescent="0.2">
      <c r="C503" s="1890"/>
      <c r="D503" s="734"/>
      <c r="E503" s="734"/>
      <c r="F503" s="735"/>
      <c r="G503" s="736"/>
      <c r="H503" s="737"/>
      <c r="I503" s="737"/>
      <c r="J503" s="737"/>
      <c r="K503" s="737"/>
      <c r="L503" s="738"/>
      <c r="M503" s="672"/>
      <c r="N503" s="673"/>
      <c r="O503" s="674"/>
      <c r="P503" s="1582" t="s">
        <v>1049</v>
      </c>
      <c r="Q503" s="1583"/>
      <c r="R503" s="1583"/>
      <c r="S503" s="1583"/>
      <c r="T503" s="1583"/>
      <c r="U503" s="1584"/>
      <c r="V503" s="1892"/>
      <c r="W503" s="1893"/>
      <c r="X503" s="1894"/>
      <c r="Y503" s="465" t="s">
        <v>697</v>
      </c>
      <c r="Z503" s="466"/>
      <c r="AA503" s="466"/>
      <c r="AB503" s="466"/>
      <c r="AC503" s="466"/>
      <c r="AD503" s="466"/>
      <c r="AE503" s="466"/>
      <c r="AF503" s="466"/>
      <c r="AG503" s="467"/>
      <c r="AH503" s="222"/>
      <c r="AI503" s="596"/>
      <c r="AJ503" s="557"/>
      <c r="AK503" s="556"/>
      <c r="AL503" s="556"/>
    </row>
    <row r="504" spans="2:39" ht="13.5" customHeight="1" x14ac:dyDescent="0.2">
      <c r="C504" s="1890"/>
      <c r="D504" s="734"/>
      <c r="E504" s="734"/>
      <c r="F504" s="735"/>
      <c r="G504" s="730" t="s">
        <v>219</v>
      </c>
      <c r="H504" s="1881"/>
      <c r="I504" s="1881"/>
      <c r="J504" s="1881"/>
      <c r="K504" s="1881"/>
      <c r="L504" s="732"/>
      <c r="M504" s="666"/>
      <c r="N504" s="667"/>
      <c r="O504" s="668"/>
      <c r="P504" s="1863" t="s">
        <v>442</v>
      </c>
      <c r="Q504" s="1767"/>
      <c r="R504" s="1767"/>
      <c r="S504" s="1767"/>
      <c r="T504" s="1767"/>
      <c r="U504" s="1767"/>
      <c r="V504" s="1767"/>
      <c r="W504" s="1767"/>
      <c r="X504" s="1767"/>
      <c r="Y504" s="1767"/>
      <c r="Z504" s="1767"/>
      <c r="AA504" s="1767"/>
      <c r="AB504" s="1767"/>
      <c r="AC504" s="1767"/>
      <c r="AD504" s="1767"/>
      <c r="AE504" s="1767"/>
      <c r="AF504" s="1767"/>
      <c r="AG504" s="1768"/>
      <c r="AH504" s="222"/>
      <c r="AI504" s="596"/>
      <c r="AJ504" s="557"/>
      <c r="AK504" s="556">
        <f>IF(AF125="X", IF(M504="Yes",IF(COUNTBLANK(P505)&lt;1,1,2),IF(M504="No",1,2)),0)</f>
        <v>0</v>
      </c>
      <c r="AL504" s="556"/>
    </row>
    <row r="505" spans="2:39" ht="13.5" customHeight="1" x14ac:dyDescent="0.2">
      <c r="C505" s="1890"/>
      <c r="D505" s="734"/>
      <c r="E505" s="734"/>
      <c r="F505" s="735"/>
      <c r="G505" s="733"/>
      <c r="H505" s="734"/>
      <c r="I505" s="734"/>
      <c r="J505" s="734"/>
      <c r="K505" s="734"/>
      <c r="L505" s="735"/>
      <c r="M505" s="669"/>
      <c r="N505" s="670"/>
      <c r="O505" s="671"/>
      <c r="P505" s="1875"/>
      <c r="Q505" s="1876"/>
      <c r="R505" s="1876"/>
      <c r="S505" s="1876"/>
      <c r="T505" s="1876"/>
      <c r="U505" s="1876"/>
      <c r="V505" s="1876"/>
      <c r="W505" s="1876"/>
      <c r="X505" s="1876"/>
      <c r="Y505" s="1876"/>
      <c r="Z505" s="1876"/>
      <c r="AA505" s="1876"/>
      <c r="AB505" s="1876"/>
      <c r="AC505" s="1876"/>
      <c r="AD505" s="1876"/>
      <c r="AE505" s="1876"/>
      <c r="AF505" s="1876"/>
      <c r="AG505" s="1877"/>
      <c r="AH505" s="222"/>
      <c r="AI505" s="558"/>
      <c r="AJ505" s="557"/>
      <c r="AK505" s="556"/>
      <c r="AL505" s="556"/>
    </row>
    <row r="506" spans="2:39" ht="15" customHeight="1" x14ac:dyDescent="0.2">
      <c r="C506" s="1891"/>
      <c r="D506" s="1883"/>
      <c r="E506" s="1883"/>
      <c r="F506" s="1884"/>
      <c r="G506" s="1882"/>
      <c r="H506" s="1883"/>
      <c r="I506" s="1883"/>
      <c r="J506" s="1883"/>
      <c r="K506" s="1883"/>
      <c r="L506" s="1884"/>
      <c r="M506" s="672"/>
      <c r="N506" s="673"/>
      <c r="O506" s="674"/>
      <c r="P506" s="1582" t="s">
        <v>1049</v>
      </c>
      <c r="Q506" s="1583"/>
      <c r="R506" s="1583"/>
      <c r="S506" s="1583"/>
      <c r="T506" s="1583"/>
      <c r="U506" s="1584"/>
      <c r="V506" s="1892"/>
      <c r="W506" s="1893"/>
      <c r="X506" s="1894"/>
      <c r="Y506" s="465" t="s">
        <v>697</v>
      </c>
      <c r="Z506" s="466"/>
      <c r="AA506" s="466"/>
      <c r="AB506" s="466"/>
      <c r="AC506" s="466"/>
      <c r="AD506" s="466"/>
      <c r="AE506" s="466"/>
      <c r="AF506" s="466"/>
      <c r="AG506" s="468"/>
      <c r="AH506" s="222"/>
      <c r="AI506" s="558"/>
      <c r="AJ506" s="557"/>
      <c r="AK506" s="556"/>
      <c r="AL506" s="556"/>
    </row>
    <row r="507" spans="2:39" ht="15" customHeight="1" x14ac:dyDescent="0.2">
      <c r="C507" s="645" t="s">
        <v>1052</v>
      </c>
      <c r="D507" s="646"/>
      <c r="E507" s="646"/>
      <c r="F507" s="646"/>
      <c r="G507" s="646"/>
      <c r="H507" s="646"/>
      <c r="I507" s="646"/>
      <c r="J507" s="646"/>
      <c r="K507" s="646"/>
      <c r="L507" s="1860"/>
      <c r="M507" s="1563"/>
      <c r="N507" s="667"/>
      <c r="O507" s="1564"/>
      <c r="P507" s="1863" t="s">
        <v>387</v>
      </c>
      <c r="Q507" s="1767"/>
      <c r="R507" s="1767"/>
      <c r="S507" s="1767"/>
      <c r="T507" s="1767"/>
      <c r="U507" s="1767"/>
      <c r="V507" s="1767"/>
      <c r="W507" s="1767"/>
      <c r="X507" s="1767"/>
      <c r="Y507" s="1864"/>
      <c r="Z507" s="725" t="s">
        <v>441</v>
      </c>
      <c r="AA507" s="661"/>
      <c r="AB507" s="726"/>
      <c r="AC507" s="725" t="s">
        <v>440</v>
      </c>
      <c r="AD507" s="661"/>
      <c r="AE507" s="661"/>
      <c r="AF507" s="661"/>
      <c r="AG507" s="662"/>
      <c r="AH507" s="222"/>
      <c r="AI507" s="558"/>
      <c r="AJ507" s="557"/>
      <c r="AK507" s="556">
        <f>IF(AF125="X", IF(M507="Yes",IF(COUNTBLANK(P508:P510)&lt;3,1,2),IF(M507="No",1,2)),0)</f>
        <v>0</v>
      </c>
      <c r="AL507" s="556"/>
    </row>
    <row r="508" spans="2:39" ht="12.75" customHeight="1" x14ac:dyDescent="0.2">
      <c r="C508" s="648"/>
      <c r="D508" s="649"/>
      <c r="E508" s="649"/>
      <c r="F508" s="649"/>
      <c r="G508" s="649"/>
      <c r="H508" s="649"/>
      <c r="I508" s="649"/>
      <c r="J508" s="649"/>
      <c r="K508" s="649"/>
      <c r="L508" s="1861"/>
      <c r="M508" s="1565"/>
      <c r="N508" s="670"/>
      <c r="O508" s="1566"/>
      <c r="P508" s="1871"/>
      <c r="Q508" s="1872"/>
      <c r="R508" s="1872"/>
      <c r="S508" s="1872"/>
      <c r="T508" s="1872"/>
      <c r="U508" s="1872"/>
      <c r="V508" s="1872"/>
      <c r="W508" s="1872"/>
      <c r="X508" s="1872"/>
      <c r="Y508" s="1873"/>
      <c r="Z508" s="1885"/>
      <c r="AA508" s="1886"/>
      <c r="AB508" s="1887"/>
      <c r="AC508" s="1878"/>
      <c r="AD508" s="1879"/>
      <c r="AE508" s="1879"/>
      <c r="AF508" s="1879"/>
      <c r="AG508" s="1880"/>
      <c r="AH508" s="222"/>
      <c r="AI508" s="558"/>
      <c r="AJ508" s="557"/>
      <c r="AK508" s="556"/>
      <c r="AL508" s="556"/>
    </row>
    <row r="509" spans="2:39" ht="12.75" customHeight="1" x14ac:dyDescent="0.2">
      <c r="C509" s="648"/>
      <c r="D509" s="649"/>
      <c r="E509" s="649"/>
      <c r="F509" s="649"/>
      <c r="G509" s="649"/>
      <c r="H509" s="649"/>
      <c r="I509" s="649"/>
      <c r="J509" s="649"/>
      <c r="K509" s="649"/>
      <c r="L509" s="1861"/>
      <c r="M509" s="1565"/>
      <c r="N509" s="670"/>
      <c r="O509" s="1566"/>
      <c r="P509" s="1871"/>
      <c r="Q509" s="1872"/>
      <c r="R509" s="1872"/>
      <c r="S509" s="1872"/>
      <c r="T509" s="1872"/>
      <c r="U509" s="1872"/>
      <c r="V509" s="1872"/>
      <c r="W509" s="1872"/>
      <c r="X509" s="1872"/>
      <c r="Y509" s="1873"/>
      <c r="Z509" s="1885"/>
      <c r="AA509" s="1886"/>
      <c r="AB509" s="1887"/>
      <c r="AC509" s="1878"/>
      <c r="AD509" s="1879"/>
      <c r="AE509" s="1879"/>
      <c r="AF509" s="1879"/>
      <c r="AG509" s="1880"/>
      <c r="AH509" s="222"/>
      <c r="AI509" s="558"/>
      <c r="AJ509" s="557"/>
      <c r="AK509" s="556"/>
      <c r="AL509" s="556"/>
    </row>
    <row r="510" spans="2:39" ht="12.75" customHeight="1" x14ac:dyDescent="0.2">
      <c r="C510" s="651"/>
      <c r="D510" s="652"/>
      <c r="E510" s="652"/>
      <c r="F510" s="652"/>
      <c r="G510" s="652"/>
      <c r="H510" s="652"/>
      <c r="I510" s="652"/>
      <c r="J510" s="652"/>
      <c r="K510" s="652"/>
      <c r="L510" s="1862"/>
      <c r="M510" s="1565"/>
      <c r="N510" s="670"/>
      <c r="O510" s="1566"/>
      <c r="P510" s="1871"/>
      <c r="Q510" s="1872"/>
      <c r="R510" s="1872"/>
      <c r="S510" s="1872"/>
      <c r="T510" s="1872"/>
      <c r="U510" s="1872"/>
      <c r="V510" s="1872"/>
      <c r="W510" s="1872"/>
      <c r="X510" s="1872"/>
      <c r="Y510" s="1873"/>
      <c r="Z510" s="1885"/>
      <c r="AA510" s="1886"/>
      <c r="AB510" s="1887"/>
      <c r="AC510" s="1878"/>
      <c r="AD510" s="1879"/>
      <c r="AE510" s="1879"/>
      <c r="AF510" s="1879"/>
      <c r="AG510" s="1880"/>
      <c r="AH510" s="222"/>
      <c r="AI510" s="558"/>
      <c r="AJ510" s="557"/>
      <c r="AK510" s="556"/>
      <c r="AL510" s="556"/>
    </row>
    <row r="511" spans="2:39" ht="15" customHeight="1" x14ac:dyDescent="0.2">
      <c r="C511" s="1141" t="s">
        <v>1043</v>
      </c>
      <c r="D511" s="1142"/>
      <c r="E511" s="1142"/>
      <c r="F511" s="1142"/>
      <c r="G511" s="1142"/>
      <c r="H511" s="1142"/>
      <c r="I511" s="1142"/>
      <c r="J511" s="1142"/>
      <c r="K511" s="1142"/>
      <c r="L511" s="1857"/>
      <c r="M511" s="1563"/>
      <c r="N511" s="667"/>
      <c r="O511" s="1564"/>
      <c r="P511" s="1863" t="s">
        <v>443</v>
      </c>
      <c r="Q511" s="1767"/>
      <c r="R511" s="1767"/>
      <c r="S511" s="1767"/>
      <c r="T511" s="1767"/>
      <c r="U511" s="1767"/>
      <c r="V511" s="1767"/>
      <c r="W511" s="1767"/>
      <c r="X511" s="1767"/>
      <c r="Y511" s="1864"/>
      <c r="Z511" s="725" t="s">
        <v>441</v>
      </c>
      <c r="AA511" s="661"/>
      <c r="AB511" s="726"/>
      <c r="AC511" s="725" t="s">
        <v>440</v>
      </c>
      <c r="AD511" s="661"/>
      <c r="AE511" s="661"/>
      <c r="AF511" s="661"/>
      <c r="AG511" s="662"/>
      <c r="AH511" s="222"/>
      <c r="AI511" s="558"/>
      <c r="AJ511" s="557"/>
      <c r="AK511" s="556">
        <f>IF(AF125="X", IF(M511="Yes",IF(COUNTBLANK(P512:P514)&lt;3,1,2),IF(M511="No",1,2)),0)</f>
        <v>0</v>
      </c>
      <c r="AL511" s="556"/>
    </row>
    <row r="512" spans="2:39" ht="13.5" customHeight="1" x14ac:dyDescent="0.2">
      <c r="C512" s="1144"/>
      <c r="D512" s="1145"/>
      <c r="E512" s="1145"/>
      <c r="F512" s="1145"/>
      <c r="G512" s="1145"/>
      <c r="H512" s="1145"/>
      <c r="I512" s="1145"/>
      <c r="J512" s="1145"/>
      <c r="K512" s="1145"/>
      <c r="L512" s="1858"/>
      <c r="M512" s="1565"/>
      <c r="N512" s="670"/>
      <c r="O512" s="1566"/>
      <c r="P512" s="1871"/>
      <c r="Q512" s="1872"/>
      <c r="R512" s="1872"/>
      <c r="S512" s="1872"/>
      <c r="T512" s="1872"/>
      <c r="U512" s="1872"/>
      <c r="V512" s="1872"/>
      <c r="W512" s="1872"/>
      <c r="X512" s="1872"/>
      <c r="Y512" s="1873"/>
      <c r="Z512" s="1885"/>
      <c r="AA512" s="1886"/>
      <c r="AB512" s="1887"/>
      <c r="AC512" s="1878"/>
      <c r="AD512" s="1879"/>
      <c r="AE512" s="1879"/>
      <c r="AF512" s="1879"/>
      <c r="AG512" s="1880"/>
      <c r="AH512" s="222"/>
      <c r="AI512" s="558"/>
      <c r="AJ512" s="557"/>
      <c r="AK512" s="556"/>
      <c r="AL512" s="556"/>
    </row>
    <row r="513" spans="2:40" ht="13.5" customHeight="1" x14ac:dyDescent="0.2">
      <c r="C513" s="1144"/>
      <c r="D513" s="1145"/>
      <c r="E513" s="1145"/>
      <c r="F513" s="1145"/>
      <c r="G513" s="1145"/>
      <c r="H513" s="1145"/>
      <c r="I513" s="1145"/>
      <c r="J513" s="1145"/>
      <c r="K513" s="1145"/>
      <c r="L513" s="1858"/>
      <c r="M513" s="1565"/>
      <c r="N513" s="670"/>
      <c r="O513" s="1566"/>
      <c r="P513" s="1871"/>
      <c r="Q513" s="1872"/>
      <c r="R513" s="1872"/>
      <c r="S513" s="1872"/>
      <c r="T513" s="1872"/>
      <c r="U513" s="1872"/>
      <c r="V513" s="1872"/>
      <c r="W513" s="1872"/>
      <c r="X513" s="1872"/>
      <c r="Y513" s="1873"/>
      <c r="Z513" s="1885"/>
      <c r="AA513" s="1886"/>
      <c r="AB513" s="1887"/>
      <c r="AC513" s="1878"/>
      <c r="AD513" s="1879"/>
      <c r="AE513" s="1879"/>
      <c r="AF513" s="1879"/>
      <c r="AG513" s="1880"/>
      <c r="AH513" s="255"/>
      <c r="AI513" s="558"/>
      <c r="AJ513" s="557"/>
      <c r="AK513" s="556"/>
      <c r="AL513" s="556"/>
    </row>
    <row r="514" spans="2:40" ht="13.5" customHeight="1" x14ac:dyDescent="0.2">
      <c r="C514" s="1147"/>
      <c r="D514" s="1148"/>
      <c r="E514" s="1148"/>
      <c r="F514" s="1148"/>
      <c r="G514" s="1148"/>
      <c r="H514" s="1148"/>
      <c r="I514" s="1148"/>
      <c r="J514" s="1148"/>
      <c r="K514" s="1148"/>
      <c r="L514" s="1859"/>
      <c r="M514" s="1565"/>
      <c r="N514" s="670"/>
      <c r="O514" s="1566"/>
      <c r="P514" s="1871"/>
      <c r="Q514" s="1872"/>
      <c r="R514" s="1872"/>
      <c r="S514" s="1872"/>
      <c r="T514" s="1872"/>
      <c r="U514" s="1872"/>
      <c r="V514" s="1872"/>
      <c r="W514" s="1872"/>
      <c r="X514" s="1872"/>
      <c r="Y514" s="1873"/>
      <c r="Z514" s="1885"/>
      <c r="AA514" s="1886"/>
      <c r="AB514" s="1887"/>
      <c r="AC514" s="1878"/>
      <c r="AD514" s="1879"/>
      <c r="AE514" s="1879"/>
      <c r="AF514" s="1879"/>
      <c r="AG514" s="1880"/>
      <c r="AH514" s="255"/>
      <c r="AI514" s="558"/>
      <c r="AJ514" s="557"/>
      <c r="AK514" s="556"/>
      <c r="AL514" s="556"/>
    </row>
    <row r="515" spans="2:40" ht="15" customHeight="1" x14ac:dyDescent="0.2">
      <c r="C515" s="645" t="s">
        <v>598</v>
      </c>
      <c r="D515" s="646"/>
      <c r="E515" s="646"/>
      <c r="F515" s="646"/>
      <c r="G515" s="646"/>
      <c r="H515" s="646"/>
      <c r="I515" s="646"/>
      <c r="J515" s="646"/>
      <c r="K515" s="646"/>
      <c r="L515" s="1860"/>
      <c r="M515" s="1563"/>
      <c r="N515" s="667"/>
      <c r="O515" s="1564"/>
      <c r="P515" s="1863" t="s">
        <v>462</v>
      </c>
      <c r="Q515" s="1767"/>
      <c r="R515" s="1767"/>
      <c r="S515" s="1767"/>
      <c r="T515" s="1767"/>
      <c r="U515" s="1767"/>
      <c r="V515" s="1767"/>
      <c r="W515" s="1767"/>
      <c r="X515" s="1767"/>
      <c r="Y515" s="1864"/>
      <c r="Z515" s="725" t="s">
        <v>608</v>
      </c>
      <c r="AA515" s="661"/>
      <c r="AB515" s="661"/>
      <c r="AC515" s="661"/>
      <c r="AD515" s="661"/>
      <c r="AE515" s="661"/>
      <c r="AF515" s="661"/>
      <c r="AG515" s="662"/>
      <c r="AH515" s="255"/>
      <c r="AI515" s="558"/>
      <c r="AJ515" s="557"/>
      <c r="AK515" s="556">
        <f>IF(AF125="X", IF(M515="Yes",IF(COUNTBLANK(P516:P518)&lt;3,1,2),IF(M515="No",1,2)),0)</f>
        <v>0</v>
      </c>
      <c r="AL515" s="556"/>
    </row>
    <row r="516" spans="2:40" ht="13.5" customHeight="1" x14ac:dyDescent="0.2">
      <c r="C516" s="648"/>
      <c r="D516" s="649"/>
      <c r="E516" s="649"/>
      <c r="F516" s="649"/>
      <c r="G516" s="649"/>
      <c r="H516" s="649"/>
      <c r="I516" s="649"/>
      <c r="J516" s="649"/>
      <c r="K516" s="649"/>
      <c r="L516" s="1861"/>
      <c r="M516" s="1565"/>
      <c r="N516" s="670"/>
      <c r="O516" s="1566"/>
      <c r="P516" s="1871"/>
      <c r="Q516" s="1872"/>
      <c r="R516" s="1872"/>
      <c r="S516" s="1872"/>
      <c r="T516" s="1872"/>
      <c r="U516" s="1872"/>
      <c r="V516" s="1872"/>
      <c r="W516" s="1872"/>
      <c r="X516" s="1872"/>
      <c r="Y516" s="1873"/>
      <c r="Z516" s="1749"/>
      <c r="AA516" s="1750"/>
      <c r="AB516" s="1750"/>
      <c r="AC516" s="1750"/>
      <c r="AD516" s="1750"/>
      <c r="AE516" s="1750"/>
      <c r="AF516" s="1750"/>
      <c r="AG516" s="1751"/>
      <c r="AH516" s="255"/>
      <c r="AI516" s="558"/>
      <c r="AJ516" s="557"/>
      <c r="AK516" s="556"/>
      <c r="AL516" s="556"/>
    </row>
    <row r="517" spans="2:40" ht="13.5" customHeight="1" x14ac:dyDescent="0.2">
      <c r="C517" s="648"/>
      <c r="D517" s="649"/>
      <c r="E517" s="649"/>
      <c r="F517" s="649"/>
      <c r="G517" s="649"/>
      <c r="H517" s="649"/>
      <c r="I517" s="649"/>
      <c r="J517" s="649"/>
      <c r="K517" s="649"/>
      <c r="L517" s="1861"/>
      <c r="M517" s="1565"/>
      <c r="N517" s="670"/>
      <c r="O517" s="1566"/>
      <c r="P517" s="1871"/>
      <c r="Q517" s="1872"/>
      <c r="R517" s="1872"/>
      <c r="S517" s="1872"/>
      <c r="T517" s="1872"/>
      <c r="U517" s="1872"/>
      <c r="V517" s="1872"/>
      <c r="W517" s="1872"/>
      <c r="X517" s="1872"/>
      <c r="Y517" s="1873"/>
      <c r="Z517" s="1885"/>
      <c r="AA517" s="1886"/>
      <c r="AB517" s="1886"/>
      <c r="AC517" s="1886"/>
      <c r="AD517" s="1886"/>
      <c r="AE517" s="1886"/>
      <c r="AF517" s="1886"/>
      <c r="AG517" s="1887"/>
      <c r="AH517" s="255"/>
      <c r="AI517" s="558"/>
      <c r="AJ517" s="557"/>
      <c r="AK517" s="556"/>
      <c r="AL517" s="556"/>
    </row>
    <row r="518" spans="2:40" ht="13.5" customHeight="1" x14ac:dyDescent="0.2">
      <c r="C518" s="651"/>
      <c r="D518" s="652"/>
      <c r="E518" s="652"/>
      <c r="F518" s="652"/>
      <c r="G518" s="652"/>
      <c r="H518" s="652"/>
      <c r="I518" s="652"/>
      <c r="J518" s="652"/>
      <c r="K518" s="652"/>
      <c r="L518" s="1862"/>
      <c r="M518" s="1565"/>
      <c r="N518" s="670"/>
      <c r="O518" s="1566"/>
      <c r="P518" s="1871"/>
      <c r="Q518" s="1872"/>
      <c r="R518" s="1872"/>
      <c r="S518" s="1872"/>
      <c r="T518" s="1872"/>
      <c r="U518" s="1872"/>
      <c r="V518" s="1872"/>
      <c r="W518" s="1872"/>
      <c r="X518" s="1872"/>
      <c r="Y518" s="1873"/>
      <c r="Z518" s="1885"/>
      <c r="AA518" s="1886"/>
      <c r="AB518" s="1886"/>
      <c r="AC518" s="1886"/>
      <c r="AD518" s="1886"/>
      <c r="AE518" s="1886"/>
      <c r="AF518" s="1886"/>
      <c r="AG518" s="1887"/>
      <c r="AH518" s="255"/>
      <c r="AI518" s="558"/>
      <c r="AJ518" s="557"/>
      <c r="AK518" s="556"/>
      <c r="AL518" s="556"/>
    </row>
    <row r="519" spans="2:40" ht="13.5" customHeight="1" thickBot="1" x14ac:dyDescent="0.25">
      <c r="C519" s="645" t="s">
        <v>1053</v>
      </c>
      <c r="D519" s="646"/>
      <c r="E519" s="646"/>
      <c r="F519" s="646"/>
      <c r="G519" s="646"/>
      <c r="H519" s="646"/>
      <c r="I519" s="646"/>
      <c r="J519" s="646"/>
      <c r="K519" s="646"/>
      <c r="L519" s="1856"/>
      <c r="M519" s="1720"/>
      <c r="N519" s="767"/>
      <c r="O519" s="1721"/>
      <c r="P519" s="1874" t="s">
        <v>1081</v>
      </c>
      <c r="Q519" s="1874"/>
      <c r="R519" s="1874"/>
      <c r="S519" s="1874"/>
      <c r="T519" s="1874"/>
      <c r="U519" s="1874"/>
      <c r="V519" s="1948" t="s">
        <v>25</v>
      </c>
      <c r="W519" s="1949"/>
      <c r="X519" s="1949"/>
      <c r="Y519" s="1949"/>
      <c r="Z519" s="1949"/>
      <c r="AA519" s="1949"/>
      <c r="AB519" s="1949"/>
      <c r="AC519" s="1949"/>
      <c r="AD519" s="1949"/>
      <c r="AE519" s="1949"/>
      <c r="AF519" s="1949"/>
      <c r="AG519" s="1950"/>
      <c r="AH519" s="255"/>
      <c r="AI519" s="558"/>
      <c r="AJ519" s="557"/>
      <c r="AK519" s="556">
        <f>IF(AF125="X",IF(M519="Yes",IF(COUNTBLANK(U520:U522)&lt;3,1,2),IF(M519="No",1,2)),0)</f>
        <v>0</v>
      </c>
      <c r="AL519" s="556"/>
      <c r="AM519" s="556"/>
      <c r="AN519" s="552"/>
    </row>
    <row r="520" spans="2:40" ht="13.5" customHeight="1" thickBot="1" x14ac:dyDescent="0.25">
      <c r="B520" s="345"/>
      <c r="C520" s="648"/>
      <c r="D520" s="649"/>
      <c r="E520" s="649"/>
      <c r="F520" s="649"/>
      <c r="G520" s="649"/>
      <c r="H520" s="649"/>
      <c r="I520" s="649"/>
      <c r="J520" s="649"/>
      <c r="K520" s="649"/>
      <c r="L520" s="649"/>
      <c r="M520" s="1865"/>
      <c r="N520" s="670"/>
      <c r="O520" s="1866"/>
      <c r="P520" s="1703" t="s">
        <v>97</v>
      </c>
      <c r="Q520" s="1703"/>
      <c r="R520" s="1703"/>
      <c r="S520" s="1703"/>
      <c r="T520" s="1704"/>
      <c r="U520" s="165"/>
      <c r="V520" s="1746"/>
      <c r="W520" s="1747"/>
      <c r="X520" s="1747"/>
      <c r="Y520" s="1747"/>
      <c r="Z520" s="1747"/>
      <c r="AA520" s="1747"/>
      <c r="AB520" s="1747"/>
      <c r="AC520" s="1747"/>
      <c r="AD520" s="1747"/>
      <c r="AE520" s="1747"/>
      <c r="AF520" s="1747"/>
      <c r="AG520" s="1748"/>
      <c r="AH520" s="255"/>
      <c r="AI520" s="558"/>
      <c r="AJ520" s="557"/>
      <c r="AK520" s="556"/>
      <c r="AL520" s="556"/>
      <c r="AM520" s="556"/>
      <c r="AN520" s="552"/>
    </row>
    <row r="521" spans="2:40" ht="13.5" customHeight="1" thickBot="1" x14ac:dyDescent="0.25">
      <c r="C521" s="648"/>
      <c r="D521" s="649"/>
      <c r="E521" s="649"/>
      <c r="F521" s="649"/>
      <c r="G521" s="649"/>
      <c r="H521" s="649"/>
      <c r="I521" s="649"/>
      <c r="J521" s="649"/>
      <c r="K521" s="649"/>
      <c r="L521" s="649"/>
      <c r="M521" s="1865"/>
      <c r="N521" s="670"/>
      <c r="O521" s="1866"/>
      <c r="P521" s="1703" t="s">
        <v>24</v>
      </c>
      <c r="Q521" s="1703"/>
      <c r="R521" s="1703"/>
      <c r="S521" s="1703"/>
      <c r="T521" s="1704"/>
      <c r="U521" s="165"/>
      <c r="V521" s="1746"/>
      <c r="W521" s="1747"/>
      <c r="X521" s="1747"/>
      <c r="Y521" s="1747"/>
      <c r="Z521" s="1747"/>
      <c r="AA521" s="1747"/>
      <c r="AB521" s="1747"/>
      <c r="AC521" s="1747"/>
      <c r="AD521" s="1747"/>
      <c r="AE521" s="1747"/>
      <c r="AF521" s="1747"/>
      <c r="AG521" s="1748"/>
      <c r="AH521" s="255"/>
      <c r="AI521" s="558"/>
      <c r="AJ521" s="557"/>
      <c r="AK521" s="556"/>
      <c r="AL521" s="556"/>
      <c r="AM521" s="556"/>
      <c r="AN521" s="552"/>
    </row>
    <row r="522" spans="2:40" ht="13.5" customHeight="1" thickBot="1" x14ac:dyDescent="0.25">
      <c r="C522" s="651"/>
      <c r="D522" s="652"/>
      <c r="E522" s="652"/>
      <c r="F522" s="652"/>
      <c r="G522" s="652"/>
      <c r="H522" s="652"/>
      <c r="I522" s="652"/>
      <c r="J522" s="652"/>
      <c r="K522" s="652"/>
      <c r="L522" s="652"/>
      <c r="M522" s="1722"/>
      <c r="N522" s="1867"/>
      <c r="O522" s="1723"/>
      <c r="P522" s="1703" t="s">
        <v>26</v>
      </c>
      <c r="Q522" s="1703"/>
      <c r="R522" s="1703"/>
      <c r="S522" s="1703"/>
      <c r="T522" s="1704"/>
      <c r="U522" s="165"/>
      <c r="V522" s="1746"/>
      <c r="W522" s="1747"/>
      <c r="X522" s="1747"/>
      <c r="Y522" s="1747"/>
      <c r="Z522" s="1747"/>
      <c r="AA522" s="1747"/>
      <c r="AB522" s="1747"/>
      <c r="AC522" s="1747"/>
      <c r="AD522" s="1747"/>
      <c r="AE522" s="1747"/>
      <c r="AF522" s="1747"/>
      <c r="AG522" s="1748"/>
      <c r="AH522" s="255"/>
      <c r="AI522" s="558"/>
      <c r="AJ522" s="557"/>
      <c r="AK522" s="556"/>
      <c r="AL522" s="556"/>
      <c r="AM522" s="556"/>
      <c r="AN522" s="552"/>
    </row>
    <row r="523" spans="2:40" ht="13.5" customHeight="1" thickBot="1" x14ac:dyDescent="0.25">
      <c r="C523" s="645" t="s">
        <v>1054</v>
      </c>
      <c r="D523" s="646"/>
      <c r="E523" s="646"/>
      <c r="F523" s="646"/>
      <c r="G523" s="646"/>
      <c r="H523" s="646"/>
      <c r="I523" s="646"/>
      <c r="J523" s="646"/>
      <c r="K523" s="646"/>
      <c r="L523" s="647"/>
      <c r="M523" s="669"/>
      <c r="N523" s="670"/>
      <c r="O523" s="671"/>
      <c r="P523" s="310"/>
      <c r="Q523" s="311"/>
      <c r="R523" s="293" t="s">
        <v>224</v>
      </c>
      <c r="S523" s="311"/>
      <c r="T523" s="312"/>
      <c r="U523" s="165"/>
      <c r="V523" s="1708" t="s">
        <v>91</v>
      </c>
      <c r="W523" s="1030"/>
      <c r="X523" s="1030"/>
      <c r="Y523" s="1030"/>
      <c r="Z523" s="1030"/>
      <c r="AA523" s="1030"/>
      <c r="AB523" s="1030"/>
      <c r="AC523" s="1030"/>
      <c r="AD523" s="1030"/>
      <c r="AE523" s="1030"/>
      <c r="AF523" s="1030"/>
      <c r="AG523" s="1031"/>
      <c r="AH523" s="255"/>
      <c r="AI523" s="558"/>
      <c r="AK523" s="556">
        <f>IF(AF125="X",IF(M523="Yes",IF(COUNTA(U523:U524)&gt;0,IF(COUNTA(U525:U532)&gt;0,IF(AB532&gt;"a",1,2),2),2),  IF(M523="No",1,2)),0)</f>
        <v>0</v>
      </c>
      <c r="AL523" s="556"/>
      <c r="AM523" s="556"/>
      <c r="AN523" s="552"/>
    </row>
    <row r="524" spans="2:40" ht="13.5" customHeight="1" thickBot="1" x14ac:dyDescent="0.25">
      <c r="C524" s="648"/>
      <c r="D524" s="649"/>
      <c r="E524" s="649"/>
      <c r="F524" s="649"/>
      <c r="G524" s="649"/>
      <c r="H524" s="649"/>
      <c r="I524" s="649"/>
      <c r="J524" s="649"/>
      <c r="K524" s="649"/>
      <c r="L524" s="650"/>
      <c r="M524" s="669"/>
      <c r="N524" s="670"/>
      <c r="O524" s="671"/>
      <c r="P524" s="290"/>
      <c r="Q524" s="291"/>
      <c r="R524" s="294" t="s">
        <v>223</v>
      </c>
      <c r="S524" s="291"/>
      <c r="T524" s="292"/>
      <c r="U524" s="165"/>
      <c r="V524" s="1708" t="s">
        <v>92</v>
      </c>
      <c r="W524" s="1030"/>
      <c r="X524" s="1030"/>
      <c r="Y524" s="1030"/>
      <c r="Z524" s="1030"/>
      <c r="AA524" s="1030"/>
      <c r="AB524" s="1030"/>
      <c r="AC524" s="1030"/>
      <c r="AD524" s="1030"/>
      <c r="AE524" s="1030"/>
      <c r="AF524" s="1030"/>
      <c r="AG524" s="1031"/>
      <c r="AH524" s="255"/>
      <c r="AI524" s="558"/>
      <c r="AK524" s="556"/>
      <c r="AL524" s="556"/>
      <c r="AM524" s="556"/>
      <c r="AN524" s="552"/>
    </row>
    <row r="525" spans="2:40" ht="13.5" customHeight="1" thickBot="1" x14ac:dyDescent="0.25">
      <c r="C525" s="648"/>
      <c r="D525" s="649"/>
      <c r="E525" s="649"/>
      <c r="F525" s="649"/>
      <c r="G525" s="649"/>
      <c r="H525" s="649"/>
      <c r="I525" s="649"/>
      <c r="J525" s="649"/>
      <c r="K525" s="649"/>
      <c r="L525" s="650"/>
      <c r="M525" s="669"/>
      <c r="N525" s="670"/>
      <c r="O525" s="671"/>
      <c r="P525" s="283"/>
      <c r="Q525" s="295"/>
      <c r="R525" s="295"/>
      <c r="S525" s="295"/>
      <c r="T525" s="296"/>
      <c r="U525" s="165"/>
      <c r="V525" s="1708" t="s">
        <v>222</v>
      </c>
      <c r="W525" s="1030"/>
      <c r="X525" s="1030"/>
      <c r="Y525" s="1030"/>
      <c r="Z525" s="1030"/>
      <c r="AA525" s="1030"/>
      <c r="AB525" s="1030"/>
      <c r="AC525" s="1030"/>
      <c r="AD525" s="1030"/>
      <c r="AE525" s="1030"/>
      <c r="AF525" s="1030"/>
      <c r="AG525" s="1031"/>
      <c r="AH525" s="222"/>
      <c r="AI525" s="558"/>
      <c r="AK525" s="556"/>
      <c r="AL525" s="556"/>
      <c r="AM525" s="556"/>
      <c r="AN525" s="552"/>
    </row>
    <row r="526" spans="2:40" ht="13.5" customHeight="1" thickBot="1" x14ac:dyDescent="0.25">
      <c r="C526" s="648"/>
      <c r="D526" s="649"/>
      <c r="E526" s="649"/>
      <c r="F526" s="649"/>
      <c r="G526" s="649"/>
      <c r="H526" s="649"/>
      <c r="I526" s="649"/>
      <c r="J526" s="649"/>
      <c r="K526" s="649"/>
      <c r="L526" s="650"/>
      <c r="M526" s="669"/>
      <c r="N526" s="670"/>
      <c r="O526" s="671"/>
      <c r="P526" s="313"/>
      <c r="Q526" s="314"/>
      <c r="R526" s="314"/>
      <c r="S526" s="314"/>
      <c r="T526" s="315"/>
      <c r="U526" s="165"/>
      <c r="V526" s="1708" t="s">
        <v>93</v>
      </c>
      <c r="W526" s="1030"/>
      <c r="X526" s="1030"/>
      <c r="Y526" s="1030"/>
      <c r="Z526" s="1030"/>
      <c r="AA526" s="1030"/>
      <c r="AB526" s="1030"/>
      <c r="AC526" s="1030"/>
      <c r="AD526" s="1030"/>
      <c r="AE526" s="1030"/>
      <c r="AF526" s="1030"/>
      <c r="AG526" s="1031"/>
      <c r="AH526" s="222"/>
      <c r="AI526" s="558"/>
      <c r="AK526" s="556"/>
      <c r="AL526" s="556"/>
      <c r="AM526" s="556"/>
      <c r="AN526" s="552"/>
    </row>
    <row r="527" spans="2:40" ht="13.5" customHeight="1" thickBot="1" x14ac:dyDescent="0.25">
      <c r="C527" s="648"/>
      <c r="D527" s="649"/>
      <c r="E527" s="649"/>
      <c r="F527" s="649"/>
      <c r="G527" s="649"/>
      <c r="H527" s="649"/>
      <c r="I527" s="649"/>
      <c r="J527" s="649"/>
      <c r="K527" s="649"/>
      <c r="L527" s="650"/>
      <c r="M527" s="669"/>
      <c r="N527" s="670"/>
      <c r="O527" s="671"/>
      <c r="P527" s="313"/>
      <c r="Q527" s="314"/>
      <c r="R527" s="314"/>
      <c r="S527" s="314"/>
      <c r="T527" s="315"/>
      <c r="U527" s="165"/>
      <c r="V527" s="1708" t="s">
        <v>94</v>
      </c>
      <c r="W527" s="1030"/>
      <c r="X527" s="1030"/>
      <c r="Y527" s="1030"/>
      <c r="Z527" s="1030"/>
      <c r="AA527" s="1030"/>
      <c r="AB527" s="1030"/>
      <c r="AC527" s="1030"/>
      <c r="AD527" s="1030"/>
      <c r="AE527" s="1030"/>
      <c r="AF527" s="1030"/>
      <c r="AG527" s="1031"/>
      <c r="AH527" s="222"/>
      <c r="AI527" s="558"/>
      <c r="AK527" s="556"/>
      <c r="AL527" s="556"/>
      <c r="AM527" s="556"/>
      <c r="AN527" s="552"/>
    </row>
    <row r="528" spans="2:40" ht="13.5" customHeight="1" thickBot="1" x14ac:dyDescent="0.25">
      <c r="C528" s="648"/>
      <c r="D528" s="649"/>
      <c r="E528" s="649"/>
      <c r="F528" s="649"/>
      <c r="G528" s="649"/>
      <c r="H528" s="649"/>
      <c r="I528" s="649"/>
      <c r="J528" s="649"/>
      <c r="K528" s="649"/>
      <c r="L528" s="650"/>
      <c r="M528" s="669"/>
      <c r="N528" s="670"/>
      <c r="O528" s="671"/>
      <c r="P528" s="313"/>
      <c r="Q528" s="314"/>
      <c r="R528" s="297" t="s">
        <v>90</v>
      </c>
      <c r="S528" s="314"/>
      <c r="T528" s="315"/>
      <c r="U528" s="165"/>
      <c r="V528" s="1708" t="s">
        <v>220</v>
      </c>
      <c r="W528" s="1030"/>
      <c r="X528" s="1030"/>
      <c r="Y528" s="1030"/>
      <c r="Z528" s="1030"/>
      <c r="AA528" s="1030"/>
      <c r="AB528" s="1030"/>
      <c r="AC528" s="1030"/>
      <c r="AD528" s="1030"/>
      <c r="AE528" s="1030"/>
      <c r="AF528" s="1030"/>
      <c r="AG528" s="1031"/>
      <c r="AH528" s="222"/>
      <c r="AI528" s="558"/>
      <c r="AK528" s="556"/>
      <c r="AL528" s="556"/>
      <c r="AM528" s="556"/>
      <c r="AN528" s="552"/>
    </row>
    <row r="529" spans="1:68" ht="13.5" customHeight="1" thickBot="1" x14ac:dyDescent="0.25">
      <c r="C529" s="648"/>
      <c r="D529" s="649"/>
      <c r="E529" s="649"/>
      <c r="F529" s="649"/>
      <c r="G529" s="649"/>
      <c r="H529" s="649"/>
      <c r="I529" s="649"/>
      <c r="J529" s="649"/>
      <c r="K529" s="649"/>
      <c r="L529" s="650"/>
      <c r="M529" s="669"/>
      <c r="N529" s="670"/>
      <c r="O529" s="671"/>
      <c r="P529" s="313"/>
      <c r="Q529" s="314"/>
      <c r="R529" s="314"/>
      <c r="S529" s="314"/>
      <c r="T529" s="315"/>
      <c r="U529" s="165"/>
      <c r="V529" s="1708" t="s">
        <v>95</v>
      </c>
      <c r="W529" s="1030"/>
      <c r="X529" s="1030"/>
      <c r="Y529" s="1030"/>
      <c r="Z529" s="1030"/>
      <c r="AA529" s="1030"/>
      <c r="AB529" s="1030"/>
      <c r="AC529" s="1030"/>
      <c r="AD529" s="1030"/>
      <c r="AE529" s="1030"/>
      <c r="AF529" s="1030"/>
      <c r="AG529" s="1031"/>
      <c r="AH529" s="222"/>
      <c r="AI529" s="558"/>
      <c r="AK529" s="556"/>
      <c r="AL529" s="556"/>
      <c r="AM529" s="556"/>
      <c r="AN529" s="552"/>
    </row>
    <row r="530" spans="1:68" ht="13.5" customHeight="1" thickBot="1" x14ac:dyDescent="0.25">
      <c r="C530" s="648"/>
      <c r="D530" s="649"/>
      <c r="E530" s="649"/>
      <c r="F530" s="649"/>
      <c r="G530" s="649"/>
      <c r="H530" s="649"/>
      <c r="I530" s="649"/>
      <c r="J530" s="649"/>
      <c r="K530" s="649"/>
      <c r="L530" s="650"/>
      <c r="M530" s="669"/>
      <c r="N530" s="670"/>
      <c r="O530" s="671"/>
      <c r="P530" s="313"/>
      <c r="Q530" s="314"/>
      <c r="R530" s="314"/>
      <c r="S530" s="314"/>
      <c r="T530" s="315"/>
      <c r="U530" s="165"/>
      <c r="V530" s="1868" t="s">
        <v>96</v>
      </c>
      <c r="W530" s="1869"/>
      <c r="X530" s="1869"/>
      <c r="Y530" s="1869"/>
      <c r="Z530" s="1869"/>
      <c r="AA530" s="1869"/>
      <c r="AB530" s="1869"/>
      <c r="AC530" s="1869"/>
      <c r="AD530" s="1869"/>
      <c r="AE530" s="1869"/>
      <c r="AF530" s="1869"/>
      <c r="AG530" s="1870"/>
      <c r="AH530" s="222"/>
      <c r="AI530" s="558"/>
      <c r="AK530" s="556"/>
      <c r="AL530" s="556"/>
      <c r="AM530" s="556"/>
      <c r="AN530" s="552"/>
    </row>
    <row r="531" spans="1:68" ht="13.5" customHeight="1" thickBot="1" x14ac:dyDescent="0.25">
      <c r="C531" s="648"/>
      <c r="D531" s="649"/>
      <c r="E531" s="649"/>
      <c r="F531" s="649"/>
      <c r="G531" s="649"/>
      <c r="H531" s="649"/>
      <c r="I531" s="649"/>
      <c r="J531" s="649"/>
      <c r="K531" s="649"/>
      <c r="L531" s="650"/>
      <c r="M531" s="669"/>
      <c r="N531" s="670"/>
      <c r="O531" s="671"/>
      <c r="P531" s="290"/>
      <c r="Q531" s="291"/>
      <c r="R531" s="291"/>
      <c r="S531" s="291"/>
      <c r="T531" s="292"/>
      <c r="U531" s="165"/>
      <c r="V531" s="1868" t="s">
        <v>221</v>
      </c>
      <c r="W531" s="1869"/>
      <c r="X531" s="1869"/>
      <c r="Y531" s="1869"/>
      <c r="Z531" s="1869"/>
      <c r="AA531" s="1869"/>
      <c r="AB531" s="1869"/>
      <c r="AC531" s="1869"/>
      <c r="AD531" s="1869"/>
      <c r="AE531" s="1869"/>
      <c r="AF531" s="1869"/>
      <c r="AG531" s="1870"/>
      <c r="AH531" s="222"/>
      <c r="AI531" s="558"/>
      <c r="AK531" s="556"/>
      <c r="AL531" s="556"/>
      <c r="AM531" s="556"/>
      <c r="AN531" s="552"/>
    </row>
    <row r="532" spans="1:68" ht="14.25" customHeight="1" x14ac:dyDescent="0.2">
      <c r="C532" s="651"/>
      <c r="D532" s="652"/>
      <c r="E532" s="652"/>
      <c r="F532" s="652"/>
      <c r="G532" s="652"/>
      <c r="H532" s="652"/>
      <c r="I532" s="652"/>
      <c r="J532" s="652"/>
      <c r="K532" s="652"/>
      <c r="L532" s="653"/>
      <c r="M532" s="672"/>
      <c r="N532" s="673"/>
      <c r="O532" s="674"/>
      <c r="P532" s="298"/>
      <c r="Q532" s="299"/>
      <c r="R532" s="299"/>
      <c r="S532" s="299"/>
      <c r="T532" s="299"/>
      <c r="U532" s="299"/>
      <c r="V532" s="299"/>
      <c r="W532" s="299"/>
      <c r="X532" s="299"/>
      <c r="Y532" s="299"/>
      <c r="Z532" s="299"/>
      <c r="AA532" s="300" t="s">
        <v>75</v>
      </c>
      <c r="AB532" s="745"/>
      <c r="AC532" s="770"/>
      <c r="AD532" s="285" t="s">
        <v>697</v>
      </c>
      <c r="AE532" s="286"/>
      <c r="AF532" s="286"/>
      <c r="AG532" s="287"/>
      <c r="AH532" s="222"/>
      <c r="AI532" s="557"/>
      <c r="AJ532" s="557"/>
      <c r="AK532" s="556"/>
      <c r="AL532" s="556"/>
      <c r="AM532" s="556"/>
      <c r="AN532" s="552"/>
    </row>
    <row r="533" spans="1:68" s="4" customFormat="1" ht="16.5" customHeight="1" x14ac:dyDescent="0.2">
      <c r="A533" s="560"/>
      <c r="B533" s="333"/>
      <c r="C533" s="849" t="s">
        <v>1055</v>
      </c>
      <c r="D533" s="1767"/>
      <c r="E533" s="1767"/>
      <c r="F533" s="1767"/>
      <c r="G533" s="1767"/>
      <c r="H533" s="1767"/>
      <c r="I533" s="1767"/>
      <c r="J533" s="1767"/>
      <c r="K533" s="1767"/>
      <c r="L533" s="1768"/>
      <c r="M533" s="745"/>
      <c r="N533" s="746"/>
      <c r="O533" s="770"/>
      <c r="P533" s="722" t="s">
        <v>115</v>
      </c>
      <c r="Q533" s="723"/>
      <c r="R533" s="723"/>
      <c r="S533" s="723"/>
      <c r="T533" s="723"/>
      <c r="U533" s="723"/>
      <c r="V533" s="723"/>
      <c r="W533" s="723"/>
      <c r="X533" s="723"/>
      <c r="Y533" s="723"/>
      <c r="Z533" s="724"/>
      <c r="AA533" s="1705"/>
      <c r="AB533" s="1706"/>
      <c r="AC533" s="1706"/>
      <c r="AD533" s="1706"/>
      <c r="AE533" s="1706"/>
      <c r="AF533" s="1706"/>
      <c r="AG533" s="1707"/>
      <c r="AH533" s="456"/>
      <c r="AI533" s="557"/>
      <c r="AJ533" s="586"/>
      <c r="AK533" s="556">
        <f>IF(AF125="X", IF(M533="Yes",IF(COUNTBLANK(AA533)&lt;1,1,2),IF(M533="No",1,2)),0)</f>
        <v>0</v>
      </c>
      <c r="AL533" s="587"/>
      <c r="AM533" s="587"/>
      <c r="AN533" s="585"/>
      <c r="AO533" s="372"/>
      <c r="AP533" s="372"/>
      <c r="AQ533" s="372"/>
      <c r="AR533" s="372"/>
      <c r="AS533" s="372"/>
      <c r="AT533" s="372"/>
      <c r="AU533" s="372"/>
      <c r="AV533" s="372"/>
      <c r="AW533" s="372"/>
      <c r="AX533" s="372"/>
      <c r="AY533" s="372"/>
      <c r="AZ533" s="372"/>
      <c r="BA533" s="372"/>
      <c r="BB533" s="372"/>
      <c r="BC533" s="372"/>
      <c r="BD533" s="372"/>
      <c r="BE533" s="372"/>
      <c r="BF533" s="372"/>
      <c r="BG533" s="372"/>
      <c r="BH533" s="372"/>
      <c r="BI533" s="372"/>
      <c r="BJ533" s="372"/>
      <c r="BK533" s="372"/>
      <c r="BL533" s="372"/>
      <c r="BM533" s="372"/>
      <c r="BN533" s="372"/>
      <c r="BO533" s="372"/>
      <c r="BP533" s="372"/>
    </row>
    <row r="534" spans="1:68" s="4" customFormat="1" ht="16.5" customHeight="1" x14ac:dyDescent="0.2">
      <c r="A534" s="560"/>
      <c r="B534" s="333"/>
      <c r="C534" s="849" t="s">
        <v>887</v>
      </c>
      <c r="D534" s="1767"/>
      <c r="E534" s="1767"/>
      <c r="F534" s="1767"/>
      <c r="G534" s="1767"/>
      <c r="H534" s="1767"/>
      <c r="I534" s="1767"/>
      <c r="J534" s="1767"/>
      <c r="K534" s="1767"/>
      <c r="L534" s="1768"/>
      <c r="M534" s="745"/>
      <c r="N534" s="746"/>
      <c r="O534" s="770"/>
      <c r="P534" s="722" t="s">
        <v>116</v>
      </c>
      <c r="Q534" s="723"/>
      <c r="R534" s="723"/>
      <c r="S534" s="723"/>
      <c r="T534" s="723"/>
      <c r="U534" s="723"/>
      <c r="V534" s="723"/>
      <c r="W534" s="723"/>
      <c r="X534" s="723"/>
      <c r="Y534" s="723"/>
      <c r="Z534" s="724"/>
      <c r="AA534" s="1705"/>
      <c r="AB534" s="1706"/>
      <c r="AC534" s="1706"/>
      <c r="AD534" s="1706"/>
      <c r="AE534" s="1706"/>
      <c r="AF534" s="1706"/>
      <c r="AG534" s="1707"/>
      <c r="AH534" s="456"/>
      <c r="AI534" s="557"/>
      <c r="AJ534" s="586"/>
      <c r="AK534" s="556">
        <f>IF(AF125="X", IF(M534="Yes",IF(COUNTBLANK(AA534)&lt;1,1,2),IF(M534="No",1,2)),0)</f>
        <v>0</v>
      </c>
      <c r="AL534" s="587"/>
      <c r="AM534" s="587"/>
      <c r="AN534" s="585"/>
      <c r="AO534" s="372"/>
      <c r="AP534" s="372"/>
      <c r="AQ534" s="372"/>
      <c r="AR534" s="372"/>
      <c r="AS534" s="372"/>
      <c r="AT534" s="372"/>
      <c r="AU534" s="372"/>
      <c r="AV534" s="372"/>
      <c r="AW534" s="372"/>
      <c r="AX534" s="372"/>
      <c r="AY534" s="372"/>
      <c r="AZ534" s="372"/>
      <c r="BA534" s="372"/>
      <c r="BB534" s="372"/>
      <c r="BC534" s="372"/>
      <c r="BD534" s="372"/>
      <c r="BE534" s="372"/>
      <c r="BF534" s="372"/>
      <c r="BG534" s="372"/>
      <c r="BH534" s="372"/>
      <c r="BI534" s="372"/>
      <c r="BJ534" s="372"/>
      <c r="BK534" s="372"/>
      <c r="BL534" s="372"/>
      <c r="BM534" s="372"/>
      <c r="BN534" s="372"/>
      <c r="BO534" s="372"/>
      <c r="BP534" s="372"/>
    </row>
    <row r="535" spans="1:68" ht="18.75" customHeight="1" x14ac:dyDescent="0.2">
      <c r="C535" s="1919" t="s">
        <v>444</v>
      </c>
      <c r="D535" s="1920"/>
      <c r="E535" s="1931" t="s">
        <v>476</v>
      </c>
      <c r="F535" s="1932"/>
      <c r="G535" s="1932"/>
      <c r="H535" s="1932"/>
      <c r="I535" s="1932"/>
      <c r="J535" s="1932"/>
      <c r="K535" s="1932"/>
      <c r="L535" s="1933"/>
      <c r="M535" s="849"/>
      <c r="N535" s="1767"/>
      <c r="O535" s="1768"/>
      <c r="P535" s="1937" t="s">
        <v>673</v>
      </c>
      <c r="Q535" s="1938"/>
      <c r="R535" s="1938"/>
      <c r="S535" s="1938"/>
      <c r="T535" s="1938"/>
      <c r="U535" s="1938"/>
      <c r="V535" s="1938"/>
      <c r="W535" s="1938"/>
      <c r="X535" s="1938"/>
      <c r="Y535" s="1938"/>
      <c r="Z535" s="1938"/>
      <c r="AA535" s="1938"/>
      <c r="AB535" s="1938"/>
      <c r="AC535" s="1938"/>
      <c r="AD535" s="1938"/>
      <c r="AE535" s="1938"/>
      <c r="AF535" s="1938"/>
      <c r="AG535" s="1864"/>
      <c r="AH535" s="222"/>
      <c r="AI535" s="557"/>
      <c r="AJ535" s="557"/>
      <c r="AK535" s="556"/>
      <c r="AL535" s="556"/>
      <c r="AM535" s="556"/>
    </row>
    <row r="536" spans="1:68" ht="20.25" customHeight="1" x14ac:dyDescent="0.2">
      <c r="C536" s="1921"/>
      <c r="D536" s="1922"/>
      <c r="E536" s="1844"/>
      <c r="F536" s="1845"/>
      <c r="G536" s="1845"/>
      <c r="H536" s="1845"/>
      <c r="I536" s="1845"/>
      <c r="J536" s="1845"/>
      <c r="K536" s="1845"/>
      <c r="L536" s="1846"/>
      <c r="M536" s="849"/>
      <c r="N536" s="1767"/>
      <c r="O536" s="1768"/>
      <c r="P536" s="1696"/>
      <c r="Q536" s="1697"/>
      <c r="R536" s="1697"/>
      <c r="S536" s="1697"/>
      <c r="T536" s="1697"/>
      <c r="U536" s="1697"/>
      <c r="V536" s="1697"/>
      <c r="W536" s="1697"/>
      <c r="X536" s="1697"/>
      <c r="Y536" s="1697"/>
      <c r="Z536" s="1697"/>
      <c r="AA536" s="1697"/>
      <c r="AB536" s="1697"/>
      <c r="AC536" s="1697"/>
      <c r="AD536" s="1697"/>
      <c r="AE536" s="1697"/>
      <c r="AF536" s="1697"/>
      <c r="AG536" s="1698"/>
      <c r="AH536" s="222"/>
      <c r="AI536" s="557"/>
      <c r="AJ536" s="557"/>
      <c r="AK536" s="556"/>
      <c r="AL536" s="556"/>
    </row>
    <row r="537" spans="1:68" ht="20.25" customHeight="1" x14ac:dyDescent="0.2">
      <c r="C537" s="1921"/>
      <c r="D537" s="1922"/>
      <c r="E537" s="1844"/>
      <c r="F537" s="1845"/>
      <c r="G537" s="1845"/>
      <c r="H537" s="1845"/>
      <c r="I537" s="1845"/>
      <c r="J537" s="1845"/>
      <c r="K537" s="1845"/>
      <c r="L537" s="1846"/>
      <c r="M537" s="849"/>
      <c r="N537" s="1767"/>
      <c r="O537" s="1768"/>
      <c r="P537" s="1696"/>
      <c r="Q537" s="1697"/>
      <c r="R537" s="1697"/>
      <c r="S537" s="1697"/>
      <c r="T537" s="1697"/>
      <c r="U537" s="1697"/>
      <c r="V537" s="1697"/>
      <c r="W537" s="1697"/>
      <c r="X537" s="1697"/>
      <c r="Y537" s="1697"/>
      <c r="Z537" s="1697"/>
      <c r="AA537" s="1697"/>
      <c r="AB537" s="1697"/>
      <c r="AC537" s="1697"/>
      <c r="AD537" s="1697"/>
      <c r="AE537" s="1697"/>
      <c r="AF537" s="1697"/>
      <c r="AG537" s="1698"/>
      <c r="AH537" s="222"/>
      <c r="AI537" s="557"/>
      <c r="AJ537" s="557"/>
      <c r="AK537" s="556"/>
      <c r="AL537" s="556"/>
    </row>
    <row r="538" spans="1:68" ht="20.25" customHeight="1" x14ac:dyDescent="0.2">
      <c r="C538" s="1923"/>
      <c r="D538" s="1924"/>
      <c r="E538" s="1844"/>
      <c r="F538" s="1845"/>
      <c r="G538" s="1845"/>
      <c r="H538" s="1845"/>
      <c r="I538" s="1845"/>
      <c r="J538" s="1845"/>
      <c r="K538" s="1845"/>
      <c r="L538" s="1846"/>
      <c r="M538" s="849"/>
      <c r="N538" s="1767"/>
      <c r="O538" s="1768"/>
      <c r="P538" s="1696"/>
      <c r="Q538" s="1697"/>
      <c r="R538" s="1697"/>
      <c r="S538" s="1697"/>
      <c r="T538" s="1697"/>
      <c r="U538" s="1697"/>
      <c r="V538" s="1697"/>
      <c r="W538" s="1697"/>
      <c r="X538" s="1697"/>
      <c r="Y538" s="1697"/>
      <c r="Z538" s="1697"/>
      <c r="AA538" s="1697"/>
      <c r="AB538" s="1697"/>
      <c r="AC538" s="1697"/>
      <c r="AD538" s="1697"/>
      <c r="AE538" s="1697"/>
      <c r="AF538" s="1697"/>
      <c r="AG538" s="1698"/>
      <c r="AH538" s="222"/>
      <c r="AI538" s="558"/>
      <c r="AJ538" s="557"/>
      <c r="AK538" s="556"/>
      <c r="AL538" s="556"/>
    </row>
    <row r="539" spans="1:68" ht="18.75" customHeight="1" x14ac:dyDescent="0.2">
      <c r="C539" s="10" t="s">
        <v>125</v>
      </c>
      <c r="D539" s="10"/>
      <c r="E539" s="10"/>
      <c r="AH539" s="253"/>
      <c r="AI539" s="558"/>
      <c r="AJ539" s="557"/>
      <c r="AK539" s="556"/>
      <c r="AL539" s="556"/>
    </row>
    <row r="540" spans="1:68" ht="13.15" customHeight="1" x14ac:dyDescent="0.2">
      <c r="C540" s="687" t="s">
        <v>859</v>
      </c>
      <c r="D540" s="688"/>
      <c r="E540" s="688"/>
      <c r="F540" s="688"/>
      <c r="G540" s="688"/>
      <c r="H540" s="688"/>
      <c r="I540" s="688"/>
      <c r="J540" s="688"/>
      <c r="K540" s="688"/>
      <c r="L540" s="689"/>
      <c r="M540" s="1248" t="s">
        <v>860</v>
      </c>
      <c r="N540" s="1561"/>
      <c r="O540" s="1562"/>
      <c r="P540" s="687" t="s">
        <v>324</v>
      </c>
      <c r="Q540" s="688"/>
      <c r="R540" s="688"/>
      <c r="S540" s="688"/>
      <c r="T540" s="688"/>
      <c r="U540" s="688"/>
      <c r="V540" s="688"/>
      <c r="W540" s="688"/>
      <c r="X540" s="688"/>
      <c r="Y540" s="688"/>
      <c r="Z540" s="688"/>
      <c r="AA540" s="688"/>
      <c r="AB540" s="688"/>
      <c r="AC540" s="688"/>
      <c r="AD540" s="688"/>
      <c r="AE540" s="688"/>
      <c r="AF540" s="688"/>
      <c r="AG540" s="689"/>
      <c r="AH540" s="223"/>
      <c r="AI540" s="558"/>
      <c r="AJ540" s="557"/>
      <c r="AK540" s="556"/>
      <c r="AL540" s="556"/>
    </row>
    <row r="541" spans="1:68" ht="13.15" customHeight="1" x14ac:dyDescent="0.2">
      <c r="C541" s="983"/>
      <c r="D541" s="984"/>
      <c r="E541" s="984"/>
      <c r="F541" s="984"/>
      <c r="G541" s="984"/>
      <c r="H541" s="984"/>
      <c r="I541" s="984"/>
      <c r="J541" s="984"/>
      <c r="K541" s="984"/>
      <c r="L541" s="985"/>
      <c r="M541" s="978" t="s">
        <v>202</v>
      </c>
      <c r="N541" s="984"/>
      <c r="O541" s="985"/>
      <c r="P541" s="690"/>
      <c r="Q541" s="691"/>
      <c r="R541" s="691"/>
      <c r="S541" s="691"/>
      <c r="T541" s="691"/>
      <c r="U541" s="691"/>
      <c r="V541" s="691"/>
      <c r="W541" s="691"/>
      <c r="X541" s="691"/>
      <c r="Y541" s="691"/>
      <c r="Z541" s="691"/>
      <c r="AA541" s="691"/>
      <c r="AB541" s="691"/>
      <c r="AC541" s="691"/>
      <c r="AD541" s="691"/>
      <c r="AE541" s="691"/>
      <c r="AF541" s="691"/>
      <c r="AG541" s="692"/>
      <c r="AH541" s="223"/>
      <c r="AI541" s="558"/>
      <c r="AJ541" s="557"/>
      <c r="AK541" s="556"/>
      <c r="AL541" s="556"/>
    </row>
    <row r="542" spans="1:68" ht="21" customHeight="1" x14ac:dyDescent="0.2">
      <c r="A542" s="554">
        <f>IF(M542="Yes",1,0)</f>
        <v>0</v>
      </c>
      <c r="B542" s="582"/>
      <c r="C542" s="1939" t="s">
        <v>1113</v>
      </c>
      <c r="D542" s="1940"/>
      <c r="E542" s="1940"/>
      <c r="F542" s="1940"/>
      <c r="G542" s="1940"/>
      <c r="H542" s="1940"/>
      <c r="I542" s="1940"/>
      <c r="J542" s="1940"/>
      <c r="K542" s="1940"/>
      <c r="L542" s="1941"/>
      <c r="M542" s="1847"/>
      <c r="N542" s="1848"/>
      <c r="O542" s="1849"/>
      <c r="P542" s="763" t="s">
        <v>338</v>
      </c>
      <c r="Q542" s="764"/>
      <c r="R542" s="764"/>
      <c r="S542" s="764"/>
      <c r="T542" s="764"/>
      <c r="U542" s="764"/>
      <c r="V542" s="764"/>
      <c r="W542" s="765"/>
      <c r="X542" s="1405"/>
      <c r="Y542" s="1406"/>
      <c r="Z542" s="1406"/>
      <c r="AA542" s="1406"/>
      <c r="AB542" s="1406"/>
      <c r="AC542" s="1406"/>
      <c r="AD542" s="1406"/>
      <c r="AE542" s="1406"/>
      <c r="AF542" s="1406"/>
      <c r="AG542" s="1407"/>
      <c r="AH542" s="222"/>
      <c r="AI542" s="558">
        <f>IF(M542&gt;="N",1,0)+IF(M546&gt;="N",1,0)+IF(M552&gt;="N",1,0)+IF(M557&gt;="N",1,0)</f>
        <v>0</v>
      </c>
      <c r="AJ542" s="557">
        <f>IF(AI542=4,1,0)</f>
        <v>0</v>
      </c>
      <c r="AK542" s="556">
        <f>IF(AF125="X", IF(AJ542=0,1,2),0)</f>
        <v>0</v>
      </c>
      <c r="AL542" s="556"/>
    </row>
    <row r="543" spans="1:68" ht="24" customHeight="1" x14ac:dyDescent="0.2">
      <c r="A543" s="554"/>
      <c r="B543" s="582"/>
      <c r="C543" s="1942"/>
      <c r="D543" s="1943"/>
      <c r="E543" s="1943"/>
      <c r="F543" s="1943"/>
      <c r="G543" s="1943"/>
      <c r="H543" s="1943"/>
      <c r="I543" s="1943"/>
      <c r="J543" s="1943"/>
      <c r="K543" s="1943"/>
      <c r="L543" s="1944"/>
      <c r="M543" s="1850"/>
      <c r="N543" s="1851"/>
      <c r="O543" s="1852"/>
      <c r="P543" s="763" t="s">
        <v>27</v>
      </c>
      <c r="Q543" s="764"/>
      <c r="R543" s="764"/>
      <c r="S543" s="764"/>
      <c r="T543" s="764"/>
      <c r="U543" s="764"/>
      <c r="V543" s="764"/>
      <c r="W543" s="765"/>
      <c r="X543" s="1405"/>
      <c r="Y543" s="1406"/>
      <c r="Z543" s="1406"/>
      <c r="AA543" s="1406"/>
      <c r="AB543" s="1406"/>
      <c r="AC543" s="1406"/>
      <c r="AD543" s="1406"/>
      <c r="AE543" s="1406"/>
      <c r="AF543" s="1406"/>
      <c r="AG543" s="1407"/>
      <c r="AH543" s="242"/>
      <c r="AI543" s="558"/>
      <c r="AJ543" s="557"/>
      <c r="AK543" s="556"/>
      <c r="AL543" s="556"/>
    </row>
    <row r="544" spans="1:68" ht="22.5" customHeight="1" x14ac:dyDescent="0.2">
      <c r="A544" s="554"/>
      <c r="B544" s="582"/>
      <c r="C544" s="1942"/>
      <c r="D544" s="1943"/>
      <c r="E544" s="1943"/>
      <c r="F544" s="1943"/>
      <c r="G544" s="1943"/>
      <c r="H544" s="1943"/>
      <c r="I544" s="1943"/>
      <c r="J544" s="1943"/>
      <c r="K544" s="1943"/>
      <c r="L544" s="1944"/>
      <c r="M544" s="1850"/>
      <c r="N544" s="1851"/>
      <c r="O544" s="1852"/>
      <c r="P544" s="763" t="s">
        <v>28</v>
      </c>
      <c r="Q544" s="764"/>
      <c r="R544" s="764"/>
      <c r="S544" s="764"/>
      <c r="T544" s="764"/>
      <c r="U544" s="764"/>
      <c r="V544" s="764"/>
      <c r="W544" s="765"/>
      <c r="X544" s="1405"/>
      <c r="Y544" s="1406"/>
      <c r="Z544" s="1406"/>
      <c r="AA544" s="1406"/>
      <c r="AB544" s="1406"/>
      <c r="AC544" s="1406"/>
      <c r="AD544" s="1406"/>
      <c r="AE544" s="1406"/>
      <c r="AF544" s="1406"/>
      <c r="AG544" s="1407"/>
      <c r="AH544" s="442"/>
      <c r="AI544" s="557"/>
      <c r="AJ544" s="557"/>
      <c r="AK544" s="556"/>
      <c r="AL544" s="556"/>
    </row>
    <row r="545" spans="1:38" ht="39.75" customHeight="1" x14ac:dyDescent="0.2">
      <c r="A545" s="554"/>
      <c r="B545" s="621"/>
      <c r="C545" s="1945"/>
      <c r="D545" s="1946"/>
      <c r="E545" s="1946"/>
      <c r="F545" s="1946"/>
      <c r="G545" s="1946"/>
      <c r="H545" s="1946"/>
      <c r="I545" s="1946"/>
      <c r="J545" s="1946"/>
      <c r="K545" s="1946"/>
      <c r="L545" s="1947"/>
      <c r="M545" s="1853"/>
      <c r="N545" s="1854"/>
      <c r="O545" s="1855"/>
      <c r="P545" s="1928" t="s">
        <v>29</v>
      </c>
      <c r="Q545" s="1929"/>
      <c r="R545" s="1929"/>
      <c r="S545" s="1929"/>
      <c r="T545" s="1929"/>
      <c r="U545" s="1929"/>
      <c r="V545" s="1929"/>
      <c r="W545" s="1930"/>
      <c r="X545" s="1405"/>
      <c r="Y545" s="1406"/>
      <c r="Z545" s="1406"/>
      <c r="AA545" s="1406"/>
      <c r="AB545" s="1406"/>
      <c r="AC545" s="1406"/>
      <c r="AD545" s="1406"/>
      <c r="AE545" s="1406"/>
      <c r="AF545" s="1406"/>
      <c r="AG545" s="1407"/>
      <c r="AH545" s="442"/>
      <c r="AI545" s="557"/>
      <c r="AJ545" s="557"/>
      <c r="AK545" s="556"/>
      <c r="AL545" s="556"/>
    </row>
    <row r="546" spans="1:38" ht="14.25" customHeight="1" x14ac:dyDescent="0.2">
      <c r="A546" s="620">
        <f>IF(M546="Yes",1,0)</f>
        <v>0</v>
      </c>
      <c r="B546" s="582" t="s">
        <v>1030</v>
      </c>
      <c r="C546" s="947" t="s">
        <v>1114</v>
      </c>
      <c r="D546" s="948"/>
      <c r="E546" s="948"/>
      <c r="F546" s="948"/>
      <c r="G546" s="948"/>
      <c r="H546" s="948"/>
      <c r="I546" s="948"/>
      <c r="J546" s="948"/>
      <c r="K546" s="948"/>
      <c r="L546" s="949"/>
      <c r="M546" s="1934"/>
      <c r="N546" s="1935"/>
      <c r="O546" s="1936"/>
      <c r="P546" s="1699" t="s">
        <v>164</v>
      </c>
      <c r="Q546" s="1700"/>
      <c r="R546" s="1700"/>
      <c r="S546" s="1700"/>
      <c r="T546" s="1700"/>
      <c r="U546" s="1700"/>
      <c r="V546" s="470"/>
      <c r="W546" s="279" t="str">
        <f>IF(M546="Yes", B546,"")</f>
        <v/>
      </c>
      <c r="X546" s="261"/>
      <c r="Y546" s="261"/>
      <c r="Z546" s="281"/>
      <c r="AA546" s="1137" t="s">
        <v>1032</v>
      </c>
      <c r="AB546" s="1137"/>
      <c r="AC546" s="1137"/>
      <c r="AD546" s="281"/>
      <c r="AE546" s="1137" t="s">
        <v>432</v>
      </c>
      <c r="AF546" s="1137"/>
      <c r="AG546" s="1137"/>
      <c r="AH546" s="242"/>
      <c r="AI546" s="558"/>
      <c r="AJ546" s="557"/>
      <c r="AK546" s="556"/>
      <c r="AL546" s="556"/>
    </row>
    <row r="547" spans="1:38" ht="13.5" customHeight="1" x14ac:dyDescent="0.2">
      <c r="A547" s="620">
        <f>IF(M546="Yes",IF(Z546="X",2,1),0)</f>
        <v>0</v>
      </c>
      <c r="B547" s="582" t="s">
        <v>654</v>
      </c>
      <c r="C547" s="950"/>
      <c r="D547" s="951"/>
      <c r="E547" s="951"/>
      <c r="F547" s="951"/>
      <c r="G547" s="951"/>
      <c r="H547" s="951"/>
      <c r="I547" s="951"/>
      <c r="J547" s="951"/>
      <c r="K547" s="951"/>
      <c r="L547" s="952"/>
      <c r="M547" s="1850"/>
      <c r="N547" s="1851"/>
      <c r="O547" s="1852"/>
      <c r="P547" s="1701"/>
      <c r="Q547" s="1702"/>
      <c r="R547" s="1702"/>
      <c r="S547" s="1702"/>
      <c r="T547" s="1702"/>
      <c r="U547" s="1702"/>
      <c r="V547" s="471"/>
      <c r="W547" s="280" t="str">
        <f>IF(M546="Yes", B547,"")</f>
        <v/>
      </c>
      <c r="X547" s="261"/>
      <c r="Y547" s="261"/>
      <c r="Z547" s="282"/>
      <c r="AA547" s="1695" t="s">
        <v>653</v>
      </c>
      <c r="AB547" s="1695"/>
      <c r="AC547" s="1695"/>
      <c r="AD547" s="1685"/>
      <c r="AE547" s="1685"/>
      <c r="AF547" s="1685"/>
      <c r="AG547" s="1686"/>
      <c r="AH547" s="242"/>
      <c r="AI547" s="558"/>
      <c r="AJ547" s="558"/>
      <c r="AK547" s="556"/>
      <c r="AL547" s="556"/>
    </row>
    <row r="548" spans="1:38" ht="24" customHeight="1" x14ac:dyDescent="0.2">
      <c r="A548" s="620"/>
      <c r="B548" s="582"/>
      <c r="C548" s="950"/>
      <c r="D548" s="951"/>
      <c r="E548" s="951"/>
      <c r="F548" s="951"/>
      <c r="G548" s="951"/>
      <c r="H548" s="951"/>
      <c r="I548" s="951"/>
      <c r="J548" s="951"/>
      <c r="K548" s="951"/>
      <c r="L548" s="952"/>
      <c r="M548" s="1850"/>
      <c r="N548" s="1851"/>
      <c r="O548" s="1852"/>
      <c r="P548" s="757" t="s">
        <v>445</v>
      </c>
      <c r="Q548" s="758"/>
      <c r="R548" s="758"/>
      <c r="S548" s="758"/>
      <c r="T548" s="758"/>
      <c r="U548" s="758"/>
      <c r="V548" s="758"/>
      <c r="W548" s="759"/>
      <c r="X548" s="760"/>
      <c r="Y548" s="761"/>
      <c r="Z548" s="761"/>
      <c r="AA548" s="761"/>
      <c r="AB548" s="761"/>
      <c r="AC548" s="761"/>
      <c r="AD548" s="761"/>
      <c r="AE548" s="761"/>
      <c r="AF548" s="761"/>
      <c r="AG548" s="762"/>
      <c r="AH548" s="242"/>
      <c r="AI548" s="558"/>
      <c r="AJ548" s="558"/>
      <c r="AK548" s="556"/>
      <c r="AL548" s="556"/>
    </row>
    <row r="549" spans="1:38" ht="25.5" customHeight="1" x14ac:dyDescent="0.2">
      <c r="A549" s="554"/>
      <c r="B549" s="582"/>
      <c r="C549" s="950"/>
      <c r="D549" s="951"/>
      <c r="E549" s="951"/>
      <c r="F549" s="951"/>
      <c r="G549" s="951"/>
      <c r="H549" s="951"/>
      <c r="I549" s="951"/>
      <c r="J549" s="951"/>
      <c r="K549" s="951"/>
      <c r="L549" s="952"/>
      <c r="M549" s="1850"/>
      <c r="N549" s="1851"/>
      <c r="O549" s="1852"/>
      <c r="P549" s="1990" t="s">
        <v>446</v>
      </c>
      <c r="Q549" s="1991"/>
      <c r="R549" s="1991"/>
      <c r="S549" s="1991"/>
      <c r="T549" s="1991"/>
      <c r="U549" s="1991"/>
      <c r="V549" s="1991"/>
      <c r="W549" s="1992"/>
      <c r="X549" s="760"/>
      <c r="Y549" s="761"/>
      <c r="Z549" s="761"/>
      <c r="AA549" s="761"/>
      <c r="AB549" s="761"/>
      <c r="AC549" s="761"/>
      <c r="AD549" s="761"/>
      <c r="AE549" s="761"/>
      <c r="AF549" s="761"/>
      <c r="AG549" s="762"/>
      <c r="AH549" s="242"/>
      <c r="AI549" s="558"/>
      <c r="AJ549" s="557"/>
      <c r="AK549" s="556"/>
      <c r="AL549" s="556"/>
    </row>
    <row r="550" spans="1:38" ht="39.75" customHeight="1" x14ac:dyDescent="0.2">
      <c r="A550" s="554"/>
      <c r="B550" s="582"/>
      <c r="C550" s="950"/>
      <c r="D550" s="951"/>
      <c r="E550" s="951"/>
      <c r="F550" s="951"/>
      <c r="G550" s="951"/>
      <c r="H550" s="951"/>
      <c r="I550" s="951"/>
      <c r="J550" s="951"/>
      <c r="K550" s="951"/>
      <c r="L550" s="952"/>
      <c r="M550" s="1850"/>
      <c r="N550" s="1851"/>
      <c r="O550" s="1852"/>
      <c r="P550" s="757" t="s">
        <v>29</v>
      </c>
      <c r="Q550" s="758"/>
      <c r="R550" s="758"/>
      <c r="S550" s="758"/>
      <c r="T550" s="758"/>
      <c r="U550" s="758"/>
      <c r="V550" s="758"/>
      <c r="W550" s="759"/>
      <c r="X550" s="760"/>
      <c r="Y550" s="761"/>
      <c r="Z550" s="761"/>
      <c r="AA550" s="761"/>
      <c r="AB550" s="761"/>
      <c r="AC550" s="761"/>
      <c r="AD550" s="761"/>
      <c r="AE550" s="761"/>
      <c r="AF550" s="761"/>
      <c r="AG550" s="762"/>
      <c r="AH550" s="223"/>
      <c r="AI550" s="558"/>
      <c r="AJ550" s="557"/>
      <c r="AK550" s="556"/>
      <c r="AL550" s="556"/>
    </row>
    <row r="551" spans="1:38" ht="47.25" customHeight="1" x14ac:dyDescent="0.2">
      <c r="A551" s="554"/>
      <c r="B551" s="582"/>
      <c r="C551" s="953"/>
      <c r="D551" s="954"/>
      <c r="E551" s="954"/>
      <c r="F551" s="954"/>
      <c r="G551" s="954"/>
      <c r="H551" s="954"/>
      <c r="I551" s="954"/>
      <c r="J551" s="954"/>
      <c r="K551" s="954"/>
      <c r="L551" s="955"/>
      <c r="M551" s="1853"/>
      <c r="N551" s="1854"/>
      <c r="O551" s="1855"/>
      <c r="P551" s="1987" t="s">
        <v>607</v>
      </c>
      <c r="Q551" s="1988"/>
      <c r="R551" s="1988"/>
      <c r="S551" s="1988"/>
      <c r="T551" s="1988"/>
      <c r="U551" s="1988"/>
      <c r="V551" s="1988"/>
      <c r="W551" s="1989"/>
      <c r="X551" s="760"/>
      <c r="Y551" s="761"/>
      <c r="Z551" s="761"/>
      <c r="AA551" s="761"/>
      <c r="AB551" s="761"/>
      <c r="AC551" s="761"/>
      <c r="AD551" s="761"/>
      <c r="AE551" s="761"/>
      <c r="AF551" s="761"/>
      <c r="AG551" s="762"/>
      <c r="AH551" s="223"/>
      <c r="AI551" s="558"/>
      <c r="AJ551" s="557"/>
      <c r="AK551" s="556"/>
      <c r="AL551" s="556"/>
    </row>
    <row r="552" spans="1:38" ht="15.75" customHeight="1" x14ac:dyDescent="0.2">
      <c r="A552" s="554">
        <f>IF(M552="Yes",1,0)</f>
        <v>0</v>
      </c>
      <c r="B552" s="333" t="s">
        <v>1031</v>
      </c>
      <c r="C552" s="748" t="s">
        <v>658</v>
      </c>
      <c r="D552" s="749"/>
      <c r="E552" s="749"/>
      <c r="F552" s="749"/>
      <c r="G552" s="749"/>
      <c r="H552" s="749"/>
      <c r="I552" s="749"/>
      <c r="J552" s="749"/>
      <c r="K552" s="749"/>
      <c r="L552" s="750"/>
      <c r="M552" s="666"/>
      <c r="N552" s="667"/>
      <c r="O552" s="668"/>
      <c r="P552" s="1699" t="s">
        <v>165</v>
      </c>
      <c r="Q552" s="1700"/>
      <c r="R552" s="1700"/>
      <c r="S552" s="1700"/>
      <c r="T552" s="1700"/>
      <c r="U552" s="1700"/>
      <c r="V552" s="470"/>
      <c r="W552" s="279" t="str">
        <f>IF(M552="Yes", B552,"")</f>
        <v/>
      </c>
      <c r="X552" s="261"/>
      <c r="Y552" s="261"/>
      <c r="Z552" s="281"/>
      <c r="AA552" s="1137" t="s">
        <v>656</v>
      </c>
      <c r="AB552" s="1137"/>
      <c r="AC552" s="1137"/>
      <c r="AD552" s="281"/>
      <c r="AE552" s="1137" t="s">
        <v>432</v>
      </c>
      <c r="AF552" s="1137"/>
      <c r="AG552" s="1138"/>
      <c r="AH552" s="242"/>
      <c r="AI552" s="596"/>
      <c r="AJ552" s="594"/>
      <c r="AK552" s="556"/>
      <c r="AL552" s="556"/>
    </row>
    <row r="553" spans="1:38" ht="14.25" customHeight="1" x14ac:dyDescent="0.2">
      <c r="A553" s="554"/>
      <c r="B553" s="333" t="s">
        <v>655</v>
      </c>
      <c r="C553" s="751"/>
      <c r="D553" s="752"/>
      <c r="E553" s="752"/>
      <c r="F553" s="752"/>
      <c r="G553" s="752"/>
      <c r="H553" s="752"/>
      <c r="I553" s="752"/>
      <c r="J553" s="752"/>
      <c r="K553" s="752"/>
      <c r="L553" s="753"/>
      <c r="M553" s="669"/>
      <c r="N553" s="670"/>
      <c r="O553" s="671"/>
      <c r="P553" s="1701"/>
      <c r="Q553" s="1702"/>
      <c r="R553" s="1702"/>
      <c r="S553" s="1702"/>
      <c r="T553" s="1702"/>
      <c r="U553" s="1702"/>
      <c r="V553" s="471"/>
      <c r="W553" s="280" t="str">
        <f>IF(M552="Yes", B553,"")</f>
        <v/>
      </c>
      <c r="X553" s="261"/>
      <c r="Y553" s="261"/>
      <c r="Z553" s="282"/>
      <c r="AA553" s="1695" t="s">
        <v>657</v>
      </c>
      <c r="AB553" s="1695"/>
      <c r="AC553" s="1695"/>
      <c r="AD553" s="1685"/>
      <c r="AE553" s="1685"/>
      <c r="AF553" s="1685"/>
      <c r="AG553" s="1686"/>
      <c r="AH553" s="242"/>
      <c r="AI553" s="558"/>
      <c r="AJ553" s="557"/>
      <c r="AK553" s="556"/>
      <c r="AL553" s="556"/>
    </row>
    <row r="554" spans="1:38" ht="24" customHeight="1" x14ac:dyDescent="0.2">
      <c r="A554" s="554"/>
      <c r="C554" s="751"/>
      <c r="D554" s="752"/>
      <c r="E554" s="752"/>
      <c r="F554" s="752"/>
      <c r="G554" s="752"/>
      <c r="H554" s="752"/>
      <c r="I554" s="752"/>
      <c r="J554" s="752"/>
      <c r="K554" s="752"/>
      <c r="L554" s="753"/>
      <c r="M554" s="669"/>
      <c r="N554" s="670"/>
      <c r="O554" s="671"/>
      <c r="P554" s="763" t="s">
        <v>37</v>
      </c>
      <c r="Q554" s="764"/>
      <c r="R554" s="764"/>
      <c r="S554" s="764"/>
      <c r="T554" s="764"/>
      <c r="U554" s="764"/>
      <c r="V554" s="764"/>
      <c r="W554" s="765"/>
      <c r="X554" s="760"/>
      <c r="Y554" s="761"/>
      <c r="Z554" s="761"/>
      <c r="AA554" s="761"/>
      <c r="AB554" s="761"/>
      <c r="AC554" s="761"/>
      <c r="AD554" s="761"/>
      <c r="AE554" s="761"/>
      <c r="AF554" s="761"/>
      <c r="AG554" s="762"/>
      <c r="AH554" s="242"/>
      <c r="AI554" s="558"/>
      <c r="AJ554" s="557"/>
      <c r="AK554" s="556"/>
      <c r="AL554" s="556"/>
    </row>
    <row r="555" spans="1:38" ht="33" customHeight="1" x14ac:dyDescent="0.2">
      <c r="A555" s="554"/>
      <c r="C555" s="751"/>
      <c r="D555" s="752"/>
      <c r="E555" s="752"/>
      <c r="F555" s="752"/>
      <c r="G555" s="752"/>
      <c r="H555" s="752"/>
      <c r="I555" s="752"/>
      <c r="J555" s="752"/>
      <c r="K555" s="752"/>
      <c r="L555" s="753"/>
      <c r="M555" s="669"/>
      <c r="N555" s="670"/>
      <c r="O555" s="671"/>
      <c r="P555" s="763" t="s">
        <v>38</v>
      </c>
      <c r="Q555" s="764"/>
      <c r="R555" s="764"/>
      <c r="S555" s="764"/>
      <c r="T555" s="764"/>
      <c r="U555" s="764"/>
      <c r="V555" s="764"/>
      <c r="W555" s="765"/>
      <c r="X555" s="760"/>
      <c r="Y555" s="761"/>
      <c r="Z555" s="761"/>
      <c r="AA555" s="761"/>
      <c r="AB555" s="761"/>
      <c r="AC555" s="761"/>
      <c r="AD555" s="761"/>
      <c r="AE555" s="761"/>
      <c r="AF555" s="761"/>
      <c r="AG555" s="762"/>
      <c r="AH555" s="223"/>
      <c r="AI555" s="558"/>
      <c r="AJ555" s="557"/>
      <c r="AK555" s="556"/>
      <c r="AL555" s="556"/>
    </row>
    <row r="556" spans="1:38" ht="41.25" customHeight="1" x14ac:dyDescent="0.2">
      <c r="A556" s="554"/>
      <c r="C556" s="754"/>
      <c r="D556" s="755"/>
      <c r="E556" s="755"/>
      <c r="F556" s="755"/>
      <c r="G556" s="755"/>
      <c r="H556" s="755"/>
      <c r="I556" s="755"/>
      <c r="J556" s="755"/>
      <c r="K556" s="755"/>
      <c r="L556" s="756"/>
      <c r="M556" s="1985"/>
      <c r="N556" s="1867"/>
      <c r="O556" s="1986"/>
      <c r="P556" s="763" t="s">
        <v>29</v>
      </c>
      <c r="Q556" s="764"/>
      <c r="R556" s="764"/>
      <c r="S556" s="764"/>
      <c r="T556" s="764"/>
      <c r="U556" s="764"/>
      <c r="V556" s="764"/>
      <c r="W556" s="765"/>
      <c r="X556" s="760"/>
      <c r="Y556" s="761"/>
      <c r="Z556" s="761"/>
      <c r="AA556" s="761"/>
      <c r="AB556" s="761"/>
      <c r="AC556" s="761"/>
      <c r="AD556" s="761"/>
      <c r="AE556" s="761"/>
      <c r="AF556" s="761"/>
      <c r="AG556" s="762"/>
      <c r="AH556" s="223"/>
      <c r="AI556" s="558"/>
      <c r="AJ556" s="557"/>
      <c r="AK556" s="556"/>
      <c r="AL556" s="556"/>
    </row>
    <row r="557" spans="1:38" ht="26.25" customHeight="1" x14ac:dyDescent="0.2">
      <c r="A557" s="554">
        <f>IF(M557="Yes",1,0)</f>
        <v>0</v>
      </c>
      <c r="C557" s="748" t="s">
        <v>39</v>
      </c>
      <c r="D557" s="749"/>
      <c r="E557" s="749"/>
      <c r="F557" s="749"/>
      <c r="G557" s="749"/>
      <c r="H557" s="749"/>
      <c r="I557" s="749"/>
      <c r="J557" s="749"/>
      <c r="K557" s="749"/>
      <c r="L557" s="750"/>
      <c r="M557" s="766"/>
      <c r="N557" s="767"/>
      <c r="O557" s="768"/>
      <c r="P557" s="757" t="s">
        <v>888</v>
      </c>
      <c r="Q557" s="758"/>
      <c r="R557" s="758"/>
      <c r="S557" s="758"/>
      <c r="T557" s="758"/>
      <c r="U557" s="758"/>
      <c r="V557" s="758"/>
      <c r="W557" s="759"/>
      <c r="X557" s="760"/>
      <c r="Y557" s="761"/>
      <c r="Z557" s="761"/>
      <c r="AA557" s="761"/>
      <c r="AB557" s="761"/>
      <c r="AC557" s="761"/>
      <c r="AD557" s="761"/>
      <c r="AE557" s="761"/>
      <c r="AF557" s="761"/>
      <c r="AG557" s="762"/>
      <c r="AH557" s="242"/>
      <c r="AI557" s="558"/>
      <c r="AJ557" s="557"/>
      <c r="AK557" s="556"/>
      <c r="AL557" s="556"/>
    </row>
    <row r="558" spans="1:38" ht="27" customHeight="1" x14ac:dyDescent="0.2">
      <c r="A558" s="554"/>
      <c r="C558" s="751"/>
      <c r="D558" s="752"/>
      <c r="E558" s="752"/>
      <c r="F558" s="752"/>
      <c r="G558" s="752"/>
      <c r="H558" s="752"/>
      <c r="I558" s="752"/>
      <c r="J558" s="752"/>
      <c r="K558" s="752"/>
      <c r="L558" s="753"/>
      <c r="M558" s="669"/>
      <c r="N558" s="670"/>
      <c r="O558" s="671"/>
      <c r="P558" s="763" t="s">
        <v>40</v>
      </c>
      <c r="Q558" s="764"/>
      <c r="R558" s="764"/>
      <c r="S558" s="764"/>
      <c r="T558" s="764"/>
      <c r="U558" s="764"/>
      <c r="V558" s="764"/>
      <c r="W558" s="765"/>
      <c r="X558" s="760"/>
      <c r="Y558" s="761"/>
      <c r="Z558" s="761"/>
      <c r="AA558" s="761"/>
      <c r="AB558" s="761"/>
      <c r="AC558" s="761"/>
      <c r="AD558" s="761"/>
      <c r="AE558" s="761"/>
      <c r="AF558" s="761"/>
      <c r="AG558" s="762"/>
      <c r="AH558" s="242"/>
      <c r="AI558" s="558"/>
      <c r="AJ558" s="557"/>
      <c r="AK558" s="556"/>
      <c r="AL558" s="556"/>
    </row>
    <row r="559" spans="1:38" ht="30" customHeight="1" x14ac:dyDescent="0.2">
      <c r="A559" s="554"/>
      <c r="C559" s="751"/>
      <c r="D559" s="752"/>
      <c r="E559" s="752"/>
      <c r="F559" s="752"/>
      <c r="G559" s="752"/>
      <c r="H559" s="752"/>
      <c r="I559" s="752"/>
      <c r="J559" s="752"/>
      <c r="K559" s="752"/>
      <c r="L559" s="753"/>
      <c r="M559" s="669"/>
      <c r="N559" s="670"/>
      <c r="O559" s="671"/>
      <c r="P559" s="763" t="s">
        <v>459</v>
      </c>
      <c r="Q559" s="764"/>
      <c r="R559" s="764"/>
      <c r="S559" s="764"/>
      <c r="T559" s="764"/>
      <c r="U559" s="764"/>
      <c r="V559" s="764"/>
      <c r="W559" s="765"/>
      <c r="X559" s="760"/>
      <c r="Y559" s="761"/>
      <c r="Z559" s="761"/>
      <c r="AA559" s="761"/>
      <c r="AB559" s="761"/>
      <c r="AC559" s="761"/>
      <c r="AD559" s="761"/>
      <c r="AE559" s="761"/>
      <c r="AF559" s="761"/>
      <c r="AG559" s="762"/>
      <c r="AH559" s="242"/>
      <c r="AI559" s="558"/>
      <c r="AJ559" s="557"/>
      <c r="AK559" s="556"/>
      <c r="AL559" s="556"/>
    </row>
    <row r="560" spans="1:38" ht="39" customHeight="1" x14ac:dyDescent="0.2">
      <c r="A560" s="554"/>
      <c r="C560" s="754"/>
      <c r="D560" s="755"/>
      <c r="E560" s="755"/>
      <c r="F560" s="755"/>
      <c r="G560" s="755"/>
      <c r="H560" s="755"/>
      <c r="I560" s="755"/>
      <c r="J560" s="755"/>
      <c r="K560" s="755"/>
      <c r="L560" s="756"/>
      <c r="M560" s="672"/>
      <c r="N560" s="673"/>
      <c r="O560" s="674"/>
      <c r="P560" s="763" t="s">
        <v>29</v>
      </c>
      <c r="Q560" s="764"/>
      <c r="R560" s="764"/>
      <c r="S560" s="764"/>
      <c r="T560" s="764"/>
      <c r="U560" s="764"/>
      <c r="V560" s="764"/>
      <c r="W560" s="765"/>
      <c r="X560" s="760"/>
      <c r="Y560" s="761"/>
      <c r="Z560" s="761"/>
      <c r="AA560" s="761"/>
      <c r="AB560" s="761"/>
      <c r="AC560" s="761"/>
      <c r="AD560" s="761"/>
      <c r="AE560" s="761"/>
      <c r="AF560" s="761"/>
      <c r="AG560" s="762"/>
      <c r="AH560" s="223"/>
      <c r="AI560" s="558"/>
      <c r="AJ560" s="557"/>
      <c r="AK560" s="556"/>
      <c r="AL560" s="556"/>
    </row>
    <row r="561" spans="1:68" ht="29.25" customHeight="1" x14ac:dyDescent="0.2">
      <c r="A561" s="554">
        <f>IF(M561="Yes",1,0)</f>
        <v>0</v>
      </c>
      <c r="C561" s="748" t="s">
        <v>41</v>
      </c>
      <c r="D561" s="749"/>
      <c r="E561" s="749"/>
      <c r="F561" s="749"/>
      <c r="G561" s="749"/>
      <c r="H561" s="749"/>
      <c r="I561" s="749"/>
      <c r="J561" s="749"/>
      <c r="K561" s="749"/>
      <c r="L561" s="750"/>
      <c r="M561" s="666"/>
      <c r="N561" s="667"/>
      <c r="O561" s="668"/>
      <c r="P561" s="763" t="s">
        <v>460</v>
      </c>
      <c r="Q561" s="764"/>
      <c r="R561" s="764"/>
      <c r="S561" s="764"/>
      <c r="T561" s="764"/>
      <c r="U561" s="764"/>
      <c r="V561" s="764"/>
      <c r="W561" s="765"/>
      <c r="X561" s="760"/>
      <c r="Y561" s="761"/>
      <c r="Z561" s="761"/>
      <c r="AA561" s="761"/>
      <c r="AB561" s="761"/>
      <c r="AC561" s="761"/>
      <c r="AD561" s="761"/>
      <c r="AE561" s="761"/>
      <c r="AF561" s="761"/>
      <c r="AG561" s="762"/>
      <c r="AH561" s="242"/>
      <c r="AI561" s="558"/>
      <c r="AJ561" s="598">
        <f>IF(M561="Yes",1,IF(A251=1,0,IF(M561="No",1,0)))</f>
        <v>0</v>
      </c>
      <c r="AK561" s="556">
        <f>IF(AF125="X", IF(AJ561=0,1,2),0)</f>
        <v>0</v>
      </c>
      <c r="AL561" s="556"/>
      <c r="AM561" s="1684"/>
      <c r="AN561" s="1684"/>
      <c r="AO561" s="1684"/>
      <c r="AP561" s="1684"/>
      <c r="AQ561" s="1684"/>
      <c r="AR561" s="1684"/>
      <c r="AS561" s="1684"/>
      <c r="AT561" s="1684"/>
      <c r="AU561" s="1684"/>
    </row>
    <row r="562" spans="1:68" ht="36.75" customHeight="1" x14ac:dyDescent="0.2">
      <c r="A562" s="554"/>
      <c r="C562" s="751"/>
      <c r="D562" s="752"/>
      <c r="E562" s="752"/>
      <c r="F562" s="752"/>
      <c r="G562" s="752"/>
      <c r="H562" s="752"/>
      <c r="I562" s="752"/>
      <c r="J562" s="752"/>
      <c r="K562" s="752"/>
      <c r="L562" s="753"/>
      <c r="M562" s="669"/>
      <c r="N562" s="670"/>
      <c r="O562" s="671"/>
      <c r="P562" s="763" t="s">
        <v>461</v>
      </c>
      <c r="Q562" s="764"/>
      <c r="R562" s="764"/>
      <c r="S562" s="764"/>
      <c r="T562" s="764"/>
      <c r="U562" s="764"/>
      <c r="V562" s="764"/>
      <c r="W562" s="765"/>
      <c r="X562" s="760"/>
      <c r="Y562" s="761"/>
      <c r="Z562" s="761"/>
      <c r="AA562" s="761"/>
      <c r="AB562" s="761"/>
      <c r="AC562" s="761"/>
      <c r="AD562" s="761"/>
      <c r="AE562" s="761"/>
      <c r="AF562" s="761"/>
      <c r="AG562" s="762"/>
      <c r="AH562" s="242"/>
      <c r="AI562" s="558"/>
      <c r="AJ562" s="557"/>
      <c r="AK562" s="556"/>
      <c r="AL562" s="556"/>
      <c r="AM562" s="1684"/>
      <c r="AN562" s="1684"/>
      <c r="AO562" s="1684"/>
      <c r="AP562" s="1684"/>
      <c r="AQ562" s="1684"/>
      <c r="AR562" s="1684"/>
      <c r="AS562" s="1684"/>
      <c r="AT562" s="1684"/>
      <c r="AU562" s="1684"/>
    </row>
    <row r="563" spans="1:68" ht="38.25" customHeight="1" x14ac:dyDescent="0.2">
      <c r="C563" s="754"/>
      <c r="D563" s="755"/>
      <c r="E563" s="755"/>
      <c r="F563" s="755"/>
      <c r="G563" s="755"/>
      <c r="H563" s="755"/>
      <c r="I563" s="755"/>
      <c r="J563" s="755"/>
      <c r="K563" s="755"/>
      <c r="L563" s="756"/>
      <c r="M563" s="672"/>
      <c r="N563" s="673"/>
      <c r="O563" s="674"/>
      <c r="P563" s="1801" t="s">
        <v>29</v>
      </c>
      <c r="Q563" s="1802"/>
      <c r="R563" s="1802"/>
      <c r="S563" s="1802"/>
      <c r="T563" s="1802"/>
      <c r="U563" s="1802"/>
      <c r="V563" s="1802"/>
      <c r="W563" s="1803"/>
      <c r="X563" s="760"/>
      <c r="Y563" s="761"/>
      <c r="Z563" s="761"/>
      <c r="AA563" s="761"/>
      <c r="AB563" s="761"/>
      <c r="AC563" s="761"/>
      <c r="AD563" s="761"/>
      <c r="AE563" s="761"/>
      <c r="AF563" s="761"/>
      <c r="AG563" s="762"/>
      <c r="AH563" s="223"/>
      <c r="AI563" s="558"/>
      <c r="AJ563" s="557"/>
      <c r="AK563" s="556"/>
      <c r="AL563" s="556"/>
    </row>
    <row r="564" spans="1:68" s="267" customFormat="1" ht="6" customHeight="1" thickBot="1" x14ac:dyDescent="0.25">
      <c r="A564" s="563"/>
      <c r="B564" s="334"/>
      <c r="C564" s="472"/>
      <c r="D564" s="472"/>
      <c r="E564" s="472"/>
      <c r="F564" s="472"/>
      <c r="G564" s="472"/>
      <c r="H564" s="472"/>
      <c r="I564" s="473"/>
      <c r="J564" s="473"/>
      <c r="K564" s="473"/>
      <c r="L564" s="473"/>
      <c r="M564" s="473"/>
      <c r="N564" s="473"/>
      <c r="O564" s="473"/>
      <c r="P564" s="473"/>
      <c r="Q564" s="473"/>
      <c r="R564" s="473"/>
      <c r="S564" s="473"/>
      <c r="T564" s="474"/>
      <c r="U564" s="474"/>
      <c r="V564" s="474"/>
      <c r="W564" s="474"/>
      <c r="X564" s="475"/>
      <c r="Y564" s="475"/>
      <c r="Z564" s="475"/>
      <c r="AA564" s="475"/>
      <c r="AB564" s="475"/>
      <c r="AC564" s="475"/>
      <c r="AD564" s="475"/>
      <c r="AE564" s="475"/>
      <c r="AF564" s="475"/>
      <c r="AG564" s="475"/>
      <c r="AH564" s="420"/>
      <c r="AI564" s="597"/>
      <c r="AJ564" s="598"/>
      <c r="AK564" s="599"/>
      <c r="AL564" s="599"/>
      <c r="AM564" s="386"/>
      <c r="AN564" s="386"/>
      <c r="AO564" s="386"/>
      <c r="AP564" s="386"/>
      <c r="AQ564" s="386"/>
      <c r="AR564" s="386"/>
      <c r="AS564" s="386"/>
      <c r="AT564" s="386"/>
      <c r="AU564" s="386"/>
      <c r="AV564" s="386"/>
      <c r="AW564" s="386"/>
      <c r="AX564" s="386"/>
      <c r="AY564" s="386"/>
      <c r="AZ564" s="386"/>
      <c r="BA564" s="386"/>
      <c r="BB564" s="386"/>
      <c r="BC564" s="386"/>
      <c r="BD564" s="386"/>
      <c r="BE564" s="386"/>
      <c r="BF564" s="386"/>
      <c r="BG564" s="386"/>
      <c r="BH564" s="386"/>
      <c r="BI564" s="386"/>
      <c r="BJ564" s="386"/>
      <c r="BK564" s="386"/>
      <c r="BL564" s="386"/>
      <c r="BM564" s="386"/>
      <c r="BN564" s="386"/>
      <c r="BO564" s="386"/>
      <c r="BP564" s="386"/>
    </row>
    <row r="565" spans="1:68" ht="14.25" customHeight="1" thickBot="1" x14ac:dyDescent="0.3">
      <c r="C565" s="1925" t="s">
        <v>103</v>
      </c>
      <c r="D565" s="1926"/>
      <c r="E565" s="1926"/>
      <c r="F565" s="1926"/>
      <c r="G565" s="1926"/>
      <c r="H565" s="1926"/>
      <c r="I565" s="1926"/>
      <c r="J565" s="1926"/>
      <c r="K565" s="1926"/>
      <c r="L565" s="1926"/>
      <c r="M565" s="1926"/>
      <c r="N565" s="1926"/>
      <c r="O565" s="1926"/>
      <c r="P565" s="1926"/>
      <c r="Q565" s="1926"/>
      <c r="R565" s="1926"/>
      <c r="S565" s="1926"/>
      <c r="T565" s="1926"/>
      <c r="U565" s="1926"/>
      <c r="V565" s="1926"/>
      <c r="W565" s="1926"/>
      <c r="X565" s="1926"/>
      <c r="Y565" s="1926"/>
      <c r="Z565" s="1926"/>
      <c r="AA565" s="1926"/>
      <c r="AB565" s="1926"/>
      <c r="AC565" s="1926"/>
      <c r="AD565" s="1926"/>
      <c r="AE565" s="1926"/>
      <c r="AF565" s="1926"/>
      <c r="AG565" s="1927"/>
      <c r="AH565" s="253" t="s">
        <v>64</v>
      </c>
      <c r="AI565" s="597"/>
      <c r="AJ565" s="598"/>
      <c r="AK565" s="599"/>
      <c r="AL565" s="556"/>
    </row>
    <row r="566" spans="1:68" ht="13.5" customHeight="1" x14ac:dyDescent="0.2">
      <c r="A566" s="565"/>
      <c r="B566" s="352"/>
      <c r="C566" s="10" t="s">
        <v>104</v>
      </c>
      <c r="K566" s="318" t="s">
        <v>521</v>
      </c>
      <c r="AD566" s="222"/>
      <c r="AE566" s="222"/>
      <c r="AF566" s="222"/>
      <c r="AG566" s="222"/>
      <c r="AH566" s="222"/>
      <c r="AI566" s="597"/>
      <c r="AJ566" s="598"/>
      <c r="AK566" s="599"/>
      <c r="AL566" s="556"/>
    </row>
    <row r="567" spans="1:68" ht="14.25" customHeight="1" x14ac:dyDescent="0.2">
      <c r="A567" s="565"/>
      <c r="B567" s="352"/>
      <c r="C567" s="42" t="s">
        <v>751</v>
      </c>
      <c r="D567" s="137"/>
      <c r="E567" s="100" t="s">
        <v>4</v>
      </c>
      <c r="F567" s="100"/>
      <c r="G567" s="100"/>
      <c r="H567" s="42"/>
      <c r="I567" s="42"/>
      <c r="J567" s="42"/>
      <c r="K567" s="42"/>
      <c r="L567" s="42"/>
      <c r="M567" s="42"/>
      <c r="N567" s="42"/>
      <c r="O567" s="42"/>
      <c r="P567" s="42"/>
      <c r="Q567" s="42"/>
      <c r="R567" s="42"/>
      <c r="S567" s="42"/>
      <c r="T567" s="42"/>
      <c r="U567" s="42"/>
      <c r="V567" s="42"/>
      <c r="W567" s="42"/>
      <c r="X567" s="42"/>
      <c r="Y567" s="42"/>
      <c r="Z567" s="42"/>
      <c r="AA567" s="42"/>
      <c r="AB567" s="42"/>
      <c r="AC567" s="42"/>
      <c r="AD567" s="745"/>
      <c r="AE567" s="770"/>
      <c r="AF567" s="106" t="s">
        <v>697</v>
      </c>
      <c r="AG567" s="222"/>
      <c r="AH567" s="222"/>
      <c r="AI567" s="597"/>
      <c r="AJ567" s="598">
        <f>IF(AD567="Yes",IF(COUNTBLANK(E571:AF571)&lt;=25,1,3), IF(AD567="No",1,0))</f>
        <v>0</v>
      </c>
      <c r="AK567" s="556">
        <f>IF(AF125="X", IF(AJ567=0,1,2),0)</f>
        <v>0</v>
      </c>
      <c r="AL567" s="556"/>
    </row>
    <row r="568" spans="1:68" ht="12" customHeight="1" x14ac:dyDescent="0.2">
      <c r="A568" s="565"/>
      <c r="B568" s="352"/>
      <c r="C568" s="2"/>
      <c r="D568" s="138"/>
      <c r="E568" s="26" t="s">
        <v>1050</v>
      </c>
      <c r="F568" s="95"/>
      <c r="G568" s="95"/>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2"/>
      <c r="AG568" s="2"/>
      <c r="AH568" s="222"/>
      <c r="AI568" s="558"/>
      <c r="AJ568" s="557"/>
      <c r="AK568" s="556"/>
      <c r="AL568" s="556"/>
    </row>
    <row r="569" spans="1:68" ht="12" customHeight="1" x14ac:dyDescent="0.2">
      <c r="A569" s="565"/>
      <c r="B569" s="352"/>
      <c r="C569" s="2"/>
      <c r="D569" s="108"/>
      <c r="E569" s="1085" t="s">
        <v>599</v>
      </c>
      <c r="F569" s="1086"/>
      <c r="G569" s="1086"/>
      <c r="H569" s="1086"/>
      <c r="I569" s="1086"/>
      <c r="J569" s="1086"/>
      <c r="K569" s="1086"/>
      <c r="L569" s="1086"/>
      <c r="M569" s="1799"/>
      <c r="N569" s="1085" t="s">
        <v>475</v>
      </c>
      <c r="O569" s="1086"/>
      <c r="P569" s="1086"/>
      <c r="Q569" s="1086"/>
      <c r="R569" s="1086"/>
      <c r="S569" s="1086"/>
      <c r="T569" s="1086"/>
      <c r="U569" s="1086"/>
      <c r="V569" s="1086"/>
      <c r="W569" s="1086"/>
      <c r="X569" s="1086"/>
      <c r="Y569" s="1799"/>
      <c r="Z569" s="1085" t="s">
        <v>397</v>
      </c>
      <c r="AA569" s="1086"/>
      <c r="AB569" s="1086"/>
      <c r="AC569" s="1086"/>
      <c r="AD569" s="1086"/>
      <c r="AE569" s="1086"/>
      <c r="AF569" s="1799"/>
      <c r="AG569" s="2"/>
      <c r="AH569" s="222"/>
      <c r="AI569" s="558"/>
      <c r="AJ569" s="557"/>
      <c r="AK569" s="556"/>
      <c r="AL569" s="556"/>
    </row>
    <row r="570" spans="1:68" ht="12" customHeight="1" x14ac:dyDescent="0.2">
      <c r="A570" s="565"/>
      <c r="B570" s="352"/>
      <c r="C570" s="2"/>
      <c r="D570" s="2"/>
      <c r="E570" s="1087"/>
      <c r="F570" s="1088"/>
      <c r="G570" s="1088"/>
      <c r="H570" s="1088"/>
      <c r="I570" s="1088"/>
      <c r="J570" s="1088"/>
      <c r="K570" s="1088"/>
      <c r="L570" s="1088"/>
      <c r="M570" s="1800"/>
      <c r="N570" s="1087"/>
      <c r="O570" s="1088"/>
      <c r="P570" s="1088"/>
      <c r="Q570" s="1088"/>
      <c r="R570" s="1088"/>
      <c r="S570" s="1088"/>
      <c r="T570" s="1088"/>
      <c r="U570" s="1088"/>
      <c r="V570" s="1088"/>
      <c r="W570" s="1088"/>
      <c r="X570" s="1088"/>
      <c r="Y570" s="1800"/>
      <c r="Z570" s="1087"/>
      <c r="AA570" s="1088"/>
      <c r="AB570" s="1088"/>
      <c r="AC570" s="1088"/>
      <c r="AD570" s="1088"/>
      <c r="AE570" s="1088"/>
      <c r="AF570" s="1800"/>
      <c r="AG570" s="2"/>
      <c r="AH570" s="222"/>
      <c r="AI570" s="558"/>
      <c r="AJ570" s="557"/>
      <c r="AK570" s="556"/>
      <c r="AL570" s="556"/>
    </row>
    <row r="571" spans="1:68" ht="13.5" customHeight="1" x14ac:dyDescent="0.2">
      <c r="A571" s="565"/>
      <c r="B571" s="352"/>
      <c r="C571" s="2"/>
      <c r="D571" s="2"/>
      <c r="E571" s="956"/>
      <c r="F571" s="945"/>
      <c r="G571" s="945"/>
      <c r="H571" s="945"/>
      <c r="I571" s="945"/>
      <c r="J571" s="945"/>
      <c r="K571" s="945"/>
      <c r="L571" s="945"/>
      <c r="M571" s="946"/>
      <c r="N571" s="956"/>
      <c r="O571" s="945"/>
      <c r="P571" s="945"/>
      <c r="Q571" s="945"/>
      <c r="R571" s="945"/>
      <c r="S571" s="945"/>
      <c r="T571" s="945"/>
      <c r="U571" s="945"/>
      <c r="V571" s="945"/>
      <c r="W571" s="945"/>
      <c r="X571" s="945"/>
      <c r="Y571" s="946"/>
      <c r="Z571" s="1692"/>
      <c r="AA571" s="1693"/>
      <c r="AB571" s="1693"/>
      <c r="AC571" s="1693"/>
      <c r="AD571" s="1693"/>
      <c r="AE571" s="1693"/>
      <c r="AF571" s="1694"/>
      <c r="AG571" s="2"/>
      <c r="AH571" s="222"/>
      <c r="AI571" s="558"/>
      <c r="AJ571" s="557"/>
      <c r="AK571" s="556"/>
      <c r="AL571" s="556"/>
    </row>
    <row r="572" spans="1:68" ht="13.5" customHeight="1" x14ac:dyDescent="0.2">
      <c r="A572" s="565"/>
      <c r="B572" s="352"/>
      <c r="C572" s="2"/>
      <c r="D572" s="2"/>
      <c r="E572" s="944"/>
      <c r="F572" s="945"/>
      <c r="G572" s="945"/>
      <c r="H572" s="945"/>
      <c r="I572" s="945"/>
      <c r="J572" s="945"/>
      <c r="K572" s="945"/>
      <c r="L572" s="945"/>
      <c r="M572" s="946"/>
      <c r="N572" s="944"/>
      <c r="O572" s="945"/>
      <c r="P572" s="945"/>
      <c r="Q572" s="945"/>
      <c r="R572" s="945"/>
      <c r="S572" s="945"/>
      <c r="T572" s="945"/>
      <c r="U572" s="945"/>
      <c r="V572" s="945"/>
      <c r="W572" s="945"/>
      <c r="X572" s="945"/>
      <c r="Y572" s="946"/>
      <c r="Z572" s="1692"/>
      <c r="AA572" s="1693"/>
      <c r="AB572" s="1693"/>
      <c r="AC572" s="1693"/>
      <c r="AD572" s="1693"/>
      <c r="AE572" s="1693"/>
      <c r="AF572" s="1694"/>
      <c r="AG572" s="2"/>
      <c r="AH572" s="222"/>
      <c r="AI572" s="558"/>
      <c r="AJ572" s="557"/>
      <c r="AK572" s="557"/>
      <c r="AL572" s="557"/>
      <c r="AM572" s="383"/>
    </row>
    <row r="573" spans="1:68" ht="13.5" customHeight="1" x14ac:dyDescent="0.2">
      <c r="A573" s="565"/>
      <c r="B573" s="352"/>
      <c r="C573" s="2"/>
      <c r="D573" s="2"/>
      <c r="E573" s="944"/>
      <c r="F573" s="945"/>
      <c r="G573" s="945"/>
      <c r="H573" s="945"/>
      <c r="I573" s="945"/>
      <c r="J573" s="945"/>
      <c r="K573" s="945"/>
      <c r="L573" s="945"/>
      <c r="M573" s="946"/>
      <c r="N573" s="944"/>
      <c r="O573" s="945"/>
      <c r="P573" s="945"/>
      <c r="Q573" s="945"/>
      <c r="R573" s="945"/>
      <c r="S573" s="945"/>
      <c r="T573" s="945"/>
      <c r="U573" s="945"/>
      <c r="V573" s="945"/>
      <c r="W573" s="945"/>
      <c r="X573" s="945"/>
      <c r="Y573" s="946"/>
      <c r="Z573" s="1804"/>
      <c r="AA573" s="1805"/>
      <c r="AB573" s="1805"/>
      <c r="AC573" s="1805"/>
      <c r="AD573" s="1805"/>
      <c r="AE573" s="1805"/>
      <c r="AF573" s="1806"/>
      <c r="AG573" s="2"/>
      <c r="AH573" s="222"/>
      <c r="AI573" s="558"/>
      <c r="AJ573" s="557"/>
      <c r="AK573" s="557"/>
      <c r="AL573" s="557"/>
      <c r="AM573" s="383"/>
    </row>
    <row r="574" spans="1:68" ht="15" customHeight="1" x14ac:dyDescent="0.2">
      <c r="A574" s="565"/>
      <c r="B574" s="352"/>
      <c r="C574" s="10" t="s">
        <v>105</v>
      </c>
      <c r="Q574" s="21"/>
      <c r="R574" s="21"/>
      <c r="S574" s="21"/>
      <c r="T574" s="21"/>
      <c r="U574" s="21"/>
      <c r="V574" s="21"/>
      <c r="W574" s="21"/>
      <c r="X574" s="21"/>
      <c r="Y574" s="21"/>
      <c r="Z574" s="21"/>
      <c r="AA574" s="21"/>
      <c r="AB574" s="21"/>
      <c r="AE574" s="2"/>
      <c r="AF574" s="2"/>
      <c r="AG574" s="2"/>
      <c r="AH574" s="222"/>
      <c r="AI574" s="558"/>
      <c r="AJ574" s="557"/>
      <c r="AK574" s="558"/>
      <c r="AL574" s="557"/>
      <c r="AM574" s="383"/>
    </row>
    <row r="575" spans="1:68" ht="11.25" customHeight="1" x14ac:dyDescent="0.2">
      <c r="A575" s="565"/>
      <c r="B575" s="352"/>
      <c r="C575" s="86"/>
      <c r="D575" s="86"/>
      <c r="E575" s="42" t="s">
        <v>510</v>
      </c>
      <c r="F575" s="42"/>
      <c r="G575" s="42"/>
      <c r="H575" s="42"/>
      <c r="I575" s="42"/>
      <c r="J575" s="42"/>
      <c r="K575" s="42"/>
      <c r="L575" s="42"/>
      <c r="M575" s="42"/>
      <c r="N575" s="42"/>
      <c r="O575" s="42"/>
      <c r="P575" s="261"/>
      <c r="Q575" s="100"/>
      <c r="R575" s="100"/>
      <c r="S575" s="100"/>
      <c r="T575" s="100"/>
      <c r="U575" s="100"/>
      <c r="V575" s="100"/>
      <c r="W575" s="100"/>
      <c r="X575" s="100"/>
      <c r="Y575" s="100"/>
      <c r="Z575" s="100"/>
      <c r="AA575" s="100"/>
      <c r="AB575" s="100"/>
      <c r="AC575" s="42"/>
      <c r="AD575" s="42"/>
      <c r="AE575" s="42"/>
      <c r="AF575" s="42"/>
      <c r="AG575" s="222"/>
      <c r="AH575" s="222"/>
      <c r="AI575" s="558"/>
      <c r="AJ575" s="557">
        <f>IF(COUNTBLANK(N577:N580)=0,1,0)</f>
        <v>0</v>
      </c>
      <c r="AK575" s="556">
        <f>IF(AF125="X", IF(AJ575=0,1,2),0)</f>
        <v>0</v>
      </c>
      <c r="AL575" s="557"/>
      <c r="AM575" s="383"/>
    </row>
    <row r="576" spans="1:68" ht="24" customHeight="1" x14ac:dyDescent="0.2">
      <c r="A576" s="565"/>
      <c r="B576" s="352"/>
      <c r="C576" s="2"/>
      <c r="D576" s="2"/>
      <c r="E576" s="774" t="s">
        <v>373</v>
      </c>
      <c r="F576" s="775"/>
      <c r="G576" s="775"/>
      <c r="H576" s="775"/>
      <c r="I576" s="775"/>
      <c r="J576" s="775"/>
      <c r="K576" s="775"/>
      <c r="L576" s="775"/>
      <c r="M576" s="776"/>
      <c r="N576" s="957" t="s">
        <v>374</v>
      </c>
      <c r="O576" s="958"/>
      <c r="P576" s="958"/>
      <c r="Q576" s="958"/>
      <c r="R576" s="958"/>
      <c r="S576" s="959"/>
      <c r="T576" s="774" t="s">
        <v>375</v>
      </c>
      <c r="U576" s="775"/>
      <c r="V576" s="775"/>
      <c r="W576" s="775"/>
      <c r="X576" s="775"/>
      <c r="Y576" s="775"/>
      <c r="Z576" s="775"/>
      <c r="AA576" s="775"/>
      <c r="AB576" s="775"/>
      <c r="AC576" s="775"/>
      <c r="AD576" s="775"/>
      <c r="AE576" s="775"/>
      <c r="AF576" s="776"/>
      <c r="AG576" s="2"/>
      <c r="AH576" s="222"/>
      <c r="AI576" s="558"/>
      <c r="AJ576" s="557"/>
      <c r="AK576" s="556"/>
      <c r="AL576" s="556"/>
    </row>
    <row r="577" spans="1:38" ht="13.5" customHeight="1" x14ac:dyDescent="0.2">
      <c r="A577" s="565"/>
      <c r="B577" s="352"/>
      <c r="C577" s="2"/>
      <c r="D577" s="2"/>
      <c r="E577" s="941" t="s">
        <v>87</v>
      </c>
      <c r="F577" s="942"/>
      <c r="G577" s="942"/>
      <c r="H577" s="942"/>
      <c r="I577" s="942"/>
      <c r="J577" s="942"/>
      <c r="K577" s="942"/>
      <c r="L577" s="942"/>
      <c r="M577" s="943"/>
      <c r="N577" s="771"/>
      <c r="O577" s="772"/>
      <c r="P577" s="772"/>
      <c r="Q577" s="772"/>
      <c r="R577" s="772"/>
      <c r="S577" s="773"/>
      <c r="T577" s="777"/>
      <c r="U577" s="778"/>
      <c r="V577" s="778"/>
      <c r="W577" s="778"/>
      <c r="X577" s="778"/>
      <c r="Y577" s="778"/>
      <c r="Z577" s="778"/>
      <c r="AA577" s="778"/>
      <c r="AB577" s="778"/>
      <c r="AC577" s="778"/>
      <c r="AD577" s="778"/>
      <c r="AE577" s="778"/>
      <c r="AF577" s="779"/>
      <c r="AG577" s="2"/>
      <c r="AH577" s="222"/>
      <c r="AI577" s="558"/>
      <c r="AJ577" s="557"/>
      <c r="AK577" s="556"/>
      <c r="AL577" s="556"/>
    </row>
    <row r="578" spans="1:38" ht="13.5" customHeight="1" x14ac:dyDescent="0.2">
      <c r="A578" s="565"/>
      <c r="B578" s="352"/>
      <c r="C578" s="2"/>
      <c r="D578" s="2"/>
      <c r="E578" s="941" t="s">
        <v>88</v>
      </c>
      <c r="F578" s="942"/>
      <c r="G578" s="942"/>
      <c r="H578" s="942"/>
      <c r="I578" s="942"/>
      <c r="J578" s="942"/>
      <c r="K578" s="942"/>
      <c r="L578" s="942"/>
      <c r="M578" s="943"/>
      <c r="N578" s="771"/>
      <c r="O578" s="772"/>
      <c r="P578" s="772"/>
      <c r="Q578" s="772"/>
      <c r="R578" s="772"/>
      <c r="S578" s="773"/>
      <c r="T578" s="777"/>
      <c r="U578" s="778"/>
      <c r="V578" s="778"/>
      <c r="W578" s="778"/>
      <c r="X578" s="778"/>
      <c r="Y578" s="778"/>
      <c r="Z578" s="778"/>
      <c r="AA578" s="778"/>
      <c r="AB578" s="778"/>
      <c r="AC578" s="778"/>
      <c r="AD578" s="778"/>
      <c r="AE578" s="778"/>
      <c r="AF578" s="779"/>
      <c r="AG578" s="2"/>
      <c r="AH578" s="222"/>
      <c r="AI578" s="558"/>
      <c r="AJ578" s="557"/>
      <c r="AK578" s="556"/>
      <c r="AL578" s="556"/>
    </row>
    <row r="579" spans="1:38" ht="13.5" customHeight="1" x14ac:dyDescent="0.2">
      <c r="A579" s="565"/>
      <c r="B579" s="352"/>
      <c r="C579" s="2"/>
      <c r="D579" s="2"/>
      <c r="E579" s="941" t="s">
        <v>89</v>
      </c>
      <c r="F579" s="942"/>
      <c r="G579" s="942"/>
      <c r="H579" s="942"/>
      <c r="I579" s="942"/>
      <c r="J579" s="942"/>
      <c r="K579" s="942"/>
      <c r="L579" s="942"/>
      <c r="M579" s="943"/>
      <c r="N579" s="771"/>
      <c r="O579" s="772"/>
      <c r="P579" s="772"/>
      <c r="Q579" s="772"/>
      <c r="R579" s="772"/>
      <c r="S579" s="773"/>
      <c r="T579" s="777"/>
      <c r="U579" s="778"/>
      <c r="V579" s="778"/>
      <c r="W579" s="778"/>
      <c r="X579" s="778"/>
      <c r="Y579" s="778"/>
      <c r="Z579" s="778"/>
      <c r="AA579" s="778"/>
      <c r="AB579" s="778"/>
      <c r="AC579" s="778"/>
      <c r="AD579" s="778"/>
      <c r="AE579" s="778"/>
      <c r="AF579" s="779"/>
      <c r="AG579" s="2"/>
      <c r="AH579" s="222"/>
      <c r="AI579" s="558"/>
      <c r="AJ579" s="557"/>
      <c r="AK579" s="556"/>
      <c r="AL579" s="556"/>
    </row>
    <row r="580" spans="1:38" ht="13.5" customHeight="1" x14ac:dyDescent="0.2">
      <c r="A580" s="565"/>
      <c r="B580" s="352"/>
      <c r="C580" s="2"/>
      <c r="D580" s="2"/>
      <c r="E580" s="941" t="s">
        <v>376</v>
      </c>
      <c r="F580" s="942"/>
      <c r="G580" s="942"/>
      <c r="H580" s="942"/>
      <c r="I580" s="942"/>
      <c r="J580" s="942"/>
      <c r="K580" s="942"/>
      <c r="L580" s="942"/>
      <c r="M580" s="943"/>
      <c r="N580" s="1720"/>
      <c r="O580" s="767"/>
      <c r="P580" s="767"/>
      <c r="Q580" s="767"/>
      <c r="R580" s="767"/>
      <c r="S580" s="1721"/>
      <c r="T580" s="1811"/>
      <c r="U580" s="1812"/>
      <c r="V580" s="1812"/>
      <c r="W580" s="1812"/>
      <c r="X580" s="1812"/>
      <c r="Y580" s="1812"/>
      <c r="Z580" s="1812"/>
      <c r="AA580" s="1812"/>
      <c r="AB580" s="1812"/>
      <c r="AC580" s="1812"/>
      <c r="AD580" s="1812"/>
      <c r="AE580" s="1812"/>
      <c r="AF580" s="1813"/>
      <c r="AG580" s="2"/>
      <c r="AH580" s="222"/>
      <c r="AI580" s="558"/>
      <c r="AJ580" s="557"/>
      <c r="AK580" s="556"/>
      <c r="AL580" s="556"/>
    </row>
    <row r="581" spans="1:38" ht="13.5" customHeight="1" x14ac:dyDescent="0.2">
      <c r="A581" s="565"/>
      <c r="B581" s="352"/>
      <c r="C581" s="2"/>
      <c r="D581" s="2"/>
      <c r="E581" s="135"/>
      <c r="F581" s="34"/>
      <c r="G581" s="2"/>
      <c r="H581" s="2"/>
      <c r="I581" s="2"/>
      <c r="J581" s="2"/>
      <c r="K581" s="2"/>
      <c r="L581" s="2"/>
      <c r="M581" s="110" t="s">
        <v>377</v>
      </c>
      <c r="N581" s="1808"/>
      <c r="O581" s="1809"/>
      <c r="P581" s="1809"/>
      <c r="Q581" s="1809"/>
      <c r="R581" s="1809"/>
      <c r="S581" s="1809"/>
      <c r="T581" s="1809"/>
      <c r="U581" s="1809"/>
      <c r="V581" s="1809"/>
      <c r="W581" s="1809"/>
      <c r="X581" s="1809"/>
      <c r="Y581" s="1809"/>
      <c r="Z581" s="1809"/>
      <c r="AA581" s="1809"/>
      <c r="AB581" s="1809"/>
      <c r="AC581" s="1809"/>
      <c r="AD581" s="1809"/>
      <c r="AE581" s="1809"/>
      <c r="AF581" s="1810"/>
      <c r="AG581" s="2"/>
      <c r="AH581" s="222"/>
      <c r="AI581" s="558"/>
      <c r="AJ581" s="557"/>
      <c r="AK581" s="556"/>
      <c r="AL581" s="556"/>
    </row>
    <row r="582" spans="1:38" ht="15.75" customHeight="1" x14ac:dyDescent="0.2">
      <c r="C582" s="59" t="s">
        <v>271</v>
      </c>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H582" s="222"/>
      <c r="AI582" s="558"/>
      <c r="AJ582" s="557"/>
      <c r="AK582" s="556"/>
      <c r="AL582" s="556"/>
    </row>
    <row r="583" spans="1:38" ht="22.5" customHeight="1" x14ac:dyDescent="0.2">
      <c r="C583" s="111" t="s">
        <v>106</v>
      </c>
      <c r="D583" s="39"/>
      <c r="E583" s="1139" t="s">
        <v>225</v>
      </c>
      <c r="F583" s="1139"/>
      <c r="G583" s="1139"/>
      <c r="H583" s="1139"/>
      <c r="I583" s="1139"/>
      <c r="J583" s="1139"/>
      <c r="K583" s="1139"/>
      <c r="L583" s="1139"/>
      <c r="M583" s="1139"/>
      <c r="N583" s="1139"/>
      <c r="O583" s="1139"/>
      <c r="P583" s="1139"/>
      <c r="Q583" s="1139"/>
      <c r="R583" s="1139"/>
      <c r="S583" s="1139"/>
      <c r="T583" s="1139"/>
      <c r="U583" s="1139"/>
      <c r="V583" s="1139"/>
      <c r="W583" s="1139"/>
      <c r="X583" s="1139"/>
      <c r="Y583" s="1139"/>
      <c r="Z583" s="1139"/>
      <c r="AA583" s="1139"/>
      <c r="AB583" s="1139"/>
      <c r="AC583" s="1139"/>
      <c r="AD583" s="141"/>
      <c r="AE583" s="141"/>
      <c r="AF583" s="141"/>
      <c r="AG583" s="2"/>
      <c r="AH583" s="222"/>
      <c r="AI583" s="558"/>
      <c r="AJ583" s="557"/>
      <c r="AK583" s="556"/>
      <c r="AL583" s="556"/>
    </row>
    <row r="584" spans="1:38" ht="14.25" customHeight="1" x14ac:dyDescent="0.2">
      <c r="C584" s="39"/>
      <c r="D584" s="39"/>
      <c r="E584" s="1139"/>
      <c r="F584" s="1139"/>
      <c r="G584" s="1139"/>
      <c r="H584" s="1139"/>
      <c r="I584" s="1139"/>
      <c r="J584" s="1139"/>
      <c r="K584" s="1139"/>
      <c r="L584" s="1139"/>
      <c r="M584" s="1139"/>
      <c r="N584" s="1139"/>
      <c r="O584" s="1139"/>
      <c r="P584" s="1139"/>
      <c r="Q584" s="1139"/>
      <c r="R584" s="1139"/>
      <c r="S584" s="1139"/>
      <c r="T584" s="1139"/>
      <c r="U584" s="1139"/>
      <c r="V584" s="1139"/>
      <c r="W584" s="1139"/>
      <c r="X584" s="1139"/>
      <c r="Y584" s="1139"/>
      <c r="Z584" s="1139"/>
      <c r="AA584" s="1139"/>
      <c r="AB584" s="1139"/>
      <c r="AC584" s="1139"/>
      <c r="AD584" s="745"/>
      <c r="AE584" s="770"/>
      <c r="AF584" s="106" t="s">
        <v>697</v>
      </c>
      <c r="AG584" s="222"/>
      <c r="AH584" s="222"/>
      <c r="AI584" s="559"/>
      <c r="AJ584" s="557">
        <f>IF(AD584="Yes",1, IF(AD584="No",IF(AK588&lt;6, 1,0),0))</f>
        <v>0</v>
      </c>
      <c r="AK584" s="556">
        <f>IF(AF125="X", IF(AJ584=0,1,2),0)</f>
        <v>0</v>
      </c>
      <c r="AL584" s="556"/>
    </row>
    <row r="585" spans="1:38" ht="12" customHeight="1" thickBot="1" x14ac:dyDescent="0.25">
      <c r="A585" s="560" t="s">
        <v>284</v>
      </c>
      <c r="B585" s="333" t="s">
        <v>1011</v>
      </c>
      <c r="C585" s="35"/>
      <c r="D585" s="35"/>
      <c r="E585" s="25" t="str">
        <f>IF(AD584="Yes",A585,IF(AD584="No",B585,""))</f>
        <v/>
      </c>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222"/>
      <c r="AD585" s="222"/>
      <c r="AE585" s="222"/>
      <c r="AF585" s="222"/>
      <c r="AG585" s="2"/>
      <c r="AH585" s="222"/>
      <c r="AI585" s="558"/>
      <c r="AJ585" s="557"/>
      <c r="AK585" s="556"/>
      <c r="AL585" s="556"/>
    </row>
    <row r="586" spans="1:38" ht="13.5" customHeight="1" thickBot="1" x14ac:dyDescent="0.25">
      <c r="C586" s="26"/>
      <c r="D586" s="26"/>
      <c r="E586" s="165"/>
      <c r="F586" s="780" t="s">
        <v>65</v>
      </c>
      <c r="G586" s="781"/>
      <c r="H586" s="781"/>
      <c r="I586" s="781"/>
      <c r="J586" s="781"/>
      <c r="K586" s="781"/>
      <c r="L586" s="781"/>
      <c r="M586" s="781"/>
      <c r="N586" s="781"/>
      <c r="O586" s="781"/>
      <c r="P586" s="781"/>
      <c r="Q586" s="781"/>
      <c r="R586" s="781"/>
      <c r="S586" s="781"/>
      <c r="T586" s="782"/>
      <c r="U586" s="165"/>
      <c r="V586" s="780" t="s">
        <v>0</v>
      </c>
      <c r="W586" s="781"/>
      <c r="X586" s="781"/>
      <c r="Y586" s="781"/>
      <c r="Z586" s="781"/>
      <c r="AA586" s="781"/>
      <c r="AB586" s="781"/>
      <c r="AC586" s="781"/>
      <c r="AD586" s="781"/>
      <c r="AE586" s="781"/>
      <c r="AF586" s="781"/>
      <c r="AH586" s="222"/>
      <c r="AI586" s="558"/>
      <c r="AJ586" s="557"/>
      <c r="AK586" s="556"/>
      <c r="AL586" s="556"/>
    </row>
    <row r="587" spans="1:38" ht="13.5" customHeight="1" thickBot="1" x14ac:dyDescent="0.25">
      <c r="C587" s="26"/>
      <c r="D587" s="26"/>
      <c r="E587" s="165"/>
      <c r="F587" s="780" t="s">
        <v>1012</v>
      </c>
      <c r="G587" s="781"/>
      <c r="H587" s="781"/>
      <c r="I587" s="781"/>
      <c r="J587" s="781"/>
      <c r="K587" s="781"/>
      <c r="L587" s="781"/>
      <c r="M587" s="781"/>
      <c r="N587" s="781"/>
      <c r="O587" s="781"/>
      <c r="P587" s="781"/>
      <c r="Q587" s="781"/>
      <c r="R587" s="781"/>
      <c r="S587" s="781"/>
      <c r="T587" s="782"/>
      <c r="U587" s="165"/>
      <c r="V587" s="780" t="s">
        <v>1013</v>
      </c>
      <c r="W587" s="781"/>
      <c r="X587" s="781"/>
      <c r="Y587" s="781"/>
      <c r="Z587" s="781"/>
      <c r="AA587" s="781"/>
      <c r="AB587" s="781"/>
      <c r="AC587" s="781"/>
      <c r="AD587" s="781"/>
      <c r="AE587" s="781"/>
      <c r="AF587" s="781"/>
      <c r="AH587" s="222"/>
      <c r="AI587" s="558"/>
      <c r="AJ587" s="557"/>
      <c r="AK587" s="556"/>
      <c r="AL587" s="556"/>
    </row>
    <row r="588" spans="1:38" ht="13.5" customHeight="1" thickBot="1" x14ac:dyDescent="0.25">
      <c r="C588" s="26"/>
      <c r="D588" s="26"/>
      <c r="E588" s="165"/>
      <c r="F588" s="780" t="s">
        <v>66</v>
      </c>
      <c r="G588" s="781"/>
      <c r="H588" s="781"/>
      <c r="I588" s="781"/>
      <c r="J588" s="781"/>
      <c r="K588" s="781"/>
      <c r="L588" s="781"/>
      <c r="M588" s="781"/>
      <c r="N588" s="781"/>
      <c r="O588" s="781"/>
      <c r="P588" s="781"/>
      <c r="Q588" s="781"/>
      <c r="R588" s="781"/>
      <c r="S588" s="781"/>
      <c r="T588" s="782"/>
      <c r="U588" s="165"/>
      <c r="V588" s="780" t="s">
        <v>302</v>
      </c>
      <c r="W588" s="781"/>
      <c r="X588" s="781"/>
      <c r="Y588" s="781"/>
      <c r="Z588" s="1133"/>
      <c r="AA588" s="790"/>
      <c r="AB588" s="791"/>
      <c r="AC588" s="791"/>
      <c r="AD588" s="791"/>
      <c r="AE588" s="791"/>
      <c r="AF588" s="792"/>
      <c r="AH588" s="222"/>
      <c r="AI588" s="558"/>
      <c r="AJ588" s="557"/>
      <c r="AK588" s="556">
        <f>COUNTBLANK(E586:E588)+COUNTBLANK(U586:U588)</f>
        <v>6</v>
      </c>
      <c r="AL588" s="556"/>
    </row>
    <row r="589" spans="1:38" ht="13.5" customHeight="1" x14ac:dyDescent="0.2">
      <c r="E589" s="1082" t="s">
        <v>268</v>
      </c>
      <c r="F589" s="1082"/>
      <c r="G589" s="1082"/>
      <c r="H589" s="1082"/>
      <c r="I589" s="1082"/>
      <c r="J589" s="1082"/>
      <c r="K589" s="1082"/>
      <c r="L589" s="1082"/>
      <c r="M589" s="1082"/>
      <c r="N589" s="1082"/>
      <c r="O589" s="1082"/>
      <c r="AA589" s="790"/>
      <c r="AB589" s="791"/>
      <c r="AC589" s="791"/>
      <c r="AD589" s="791"/>
      <c r="AE589" s="791"/>
      <c r="AF589" s="792"/>
      <c r="AH589" s="222"/>
      <c r="AI589" s="558"/>
      <c r="AJ589" s="557"/>
      <c r="AK589" s="556"/>
      <c r="AL589" s="556"/>
    </row>
    <row r="590" spans="1:38" ht="0.75" hidden="1" customHeight="1" x14ac:dyDescent="0.2">
      <c r="C590" s="77"/>
      <c r="D590" s="77"/>
      <c r="E590" s="476"/>
      <c r="F590" s="476"/>
      <c r="G590" s="476"/>
      <c r="H590" s="476"/>
      <c r="I590" s="476"/>
      <c r="J590" s="476"/>
      <c r="K590" s="476"/>
      <c r="L590" s="476"/>
      <c r="M590" s="476"/>
      <c r="N590" s="476"/>
      <c r="O590" s="476"/>
      <c r="P590" s="77"/>
      <c r="Q590" s="77"/>
      <c r="R590" s="77"/>
      <c r="S590" s="77"/>
      <c r="T590" s="77"/>
      <c r="U590" s="77"/>
      <c r="V590" s="77"/>
      <c r="W590" s="77"/>
      <c r="X590" s="77"/>
      <c r="Y590" s="77"/>
      <c r="Z590" s="77"/>
      <c r="AA590" s="477"/>
      <c r="AB590" s="477"/>
      <c r="AC590" s="477"/>
      <c r="AD590" s="469"/>
      <c r="AE590" s="469"/>
      <c r="AF590" s="477"/>
      <c r="AG590" s="77"/>
      <c r="AH590" s="419"/>
      <c r="AI590" s="558"/>
      <c r="AJ590" s="557"/>
      <c r="AK590" s="556"/>
      <c r="AL590" s="556"/>
    </row>
    <row r="591" spans="1:38" ht="14.25" customHeight="1" x14ac:dyDescent="0.2">
      <c r="A591" s="562">
        <f>IF(AD591="Yes",IF(AD593="Yes",5, IF(AD603="Yes",2,1)), IF(AD591="No",IF(AD593="Yes",5, IF(AD593="No",1,0)),0))</f>
        <v>0</v>
      </c>
      <c r="C591" s="27" t="s">
        <v>177</v>
      </c>
      <c r="D591" s="478"/>
      <c r="E591" s="478"/>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745"/>
      <c r="AE591" s="770"/>
      <c r="AF591" s="479" t="s">
        <v>697</v>
      </c>
      <c r="AG591" s="222"/>
      <c r="AH591" s="222"/>
      <c r="AI591" s="558"/>
      <c r="AJ591" s="557"/>
      <c r="AK591" s="556"/>
      <c r="AL591" s="556"/>
    </row>
    <row r="592" spans="1:38" ht="2.25" customHeight="1" x14ac:dyDescent="0.2">
      <c r="E592" s="222"/>
      <c r="F592" s="222"/>
      <c r="G592" s="222"/>
      <c r="H592" s="222"/>
      <c r="I592" s="222"/>
      <c r="J592" s="222"/>
      <c r="K592" s="222"/>
      <c r="L592" s="222"/>
      <c r="M592" s="222"/>
      <c r="N592" s="222"/>
      <c r="O592" s="222"/>
      <c r="P592" s="222"/>
      <c r="Q592" s="222"/>
      <c r="R592" s="222"/>
      <c r="S592" s="222"/>
      <c r="T592" s="222"/>
      <c r="U592" s="222"/>
      <c r="V592" s="222"/>
      <c r="W592" s="222"/>
      <c r="X592" s="222"/>
      <c r="Y592" s="222"/>
      <c r="Z592" s="222"/>
      <c r="AA592" s="222"/>
      <c r="AB592" s="222"/>
      <c r="AC592" s="222"/>
      <c r="AD592" s="222"/>
      <c r="AE592" s="222"/>
      <c r="AF592" s="222"/>
      <c r="AG592" s="222"/>
      <c r="AH592" s="222"/>
      <c r="AI592" s="558"/>
      <c r="AJ592" s="557"/>
      <c r="AK592" s="556"/>
      <c r="AL592" s="556"/>
    </row>
    <row r="593" spans="1:38" ht="15" customHeight="1" x14ac:dyDescent="0.2">
      <c r="B593" s="332"/>
      <c r="C593" s="27" t="s">
        <v>107</v>
      </c>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c r="AB593" s="27"/>
      <c r="AC593" s="2"/>
      <c r="AD593" s="745"/>
      <c r="AE593" s="770"/>
      <c r="AF593" s="106" t="s">
        <v>697</v>
      </c>
      <c r="AG593" s="222"/>
      <c r="AH593" s="222"/>
      <c r="AI593" s="558"/>
      <c r="AJ593" s="557">
        <f>IF(AD584="Yes", IF(AD591="Yes",IF(AD593="Yes",1, IF(AD593="No",1,0)),IF(AD591="No",1,0)),IF(AD584="no",1,0))</f>
        <v>0</v>
      </c>
      <c r="AK593" s="556">
        <f>IF(AF125="X", IF(AD584="No", 2, IF(AJ593=0,1,2)),0)</f>
        <v>0</v>
      </c>
      <c r="AL593" s="556"/>
    </row>
    <row r="594" spans="1:38" ht="14.25" customHeight="1" x14ac:dyDescent="0.2">
      <c r="B594" s="332"/>
      <c r="C594" s="27" t="s">
        <v>108</v>
      </c>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c r="AB594" s="27"/>
      <c r="AC594" s="2"/>
      <c r="AD594" s="2"/>
      <c r="AE594" s="2"/>
      <c r="AF594" s="106"/>
      <c r="AG594" s="222"/>
      <c r="AH594" s="253"/>
      <c r="AI594" s="558"/>
      <c r="AJ594" s="557"/>
      <c r="AK594" s="556"/>
      <c r="AL594" s="556"/>
    </row>
    <row r="595" spans="1:38" ht="1.5" customHeight="1" x14ac:dyDescent="0.2">
      <c r="B595" s="332"/>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c r="AB595" s="27"/>
      <c r="AC595" s="2"/>
      <c r="AD595" s="2"/>
      <c r="AE595" s="2"/>
      <c r="AF595" s="106"/>
      <c r="AG595" s="222"/>
      <c r="AH595" s="222"/>
      <c r="AI595" s="558"/>
      <c r="AJ595" s="557"/>
      <c r="AK595" s="556"/>
      <c r="AL595" s="556"/>
    </row>
    <row r="596" spans="1:38" ht="14.25" customHeight="1" x14ac:dyDescent="0.2">
      <c r="A596" s="574" t="s">
        <v>285</v>
      </c>
      <c r="B596" s="353" t="s">
        <v>35</v>
      </c>
      <c r="C596" s="27"/>
      <c r="D596" s="27"/>
      <c r="E596" s="745"/>
      <c r="F596" s="770"/>
      <c r="G596" s="48" t="str">
        <f>IF(AD593="No", A596, B596)</f>
        <v xml:space="preserve"> Novel DNA &amp; /or novel protein PRESENT in GM Food/ingredient</v>
      </c>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32"/>
      <c r="AG596" s="222"/>
      <c r="AH596" s="222"/>
      <c r="AI596" s="558"/>
      <c r="AJ596" s="557">
        <f>IF(AD584="No",1, IF(AD584="Yes",IF(COUNTBLANK(E596:E600)&lt;5, 1,0),0))</f>
        <v>0</v>
      </c>
      <c r="AK596" s="556">
        <f>IF(AF125="X", IF(AD584="No", 2, IF(AJ596=0,1,2)),0)</f>
        <v>0</v>
      </c>
      <c r="AL596" s="556"/>
    </row>
    <row r="597" spans="1:38" ht="14.25" customHeight="1" x14ac:dyDescent="0.2">
      <c r="A597" s="574" t="s">
        <v>286</v>
      </c>
      <c r="B597" s="353" t="s">
        <v>33</v>
      </c>
      <c r="C597" s="27"/>
      <c r="D597" s="27"/>
      <c r="E597" s="745"/>
      <c r="F597" s="770"/>
      <c r="G597" s="48" t="str">
        <f>IF(AD593="No", A597, B597)</f>
        <v xml:space="preserve"> Novel DNA &amp; /or novel protein PRESENT in GM Additive</v>
      </c>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32"/>
      <c r="AG597" s="222"/>
      <c r="AH597" s="222"/>
      <c r="AI597" s="558"/>
      <c r="AJ597" s="557"/>
      <c r="AK597" s="556"/>
      <c r="AL597" s="556"/>
    </row>
    <row r="598" spans="1:38" ht="14.25" customHeight="1" x14ac:dyDescent="0.2">
      <c r="A598" s="574" t="s">
        <v>287</v>
      </c>
      <c r="B598" s="353" t="s">
        <v>34</v>
      </c>
      <c r="C598" s="27"/>
      <c r="D598" s="27"/>
      <c r="E598" s="745"/>
      <c r="F598" s="770"/>
      <c r="G598" s="48" t="str">
        <f>IF(AD593="No", A598, B598)</f>
        <v xml:space="preserve"> Novel DNA &amp; /or novel protein PRESENT in GM processing aid</v>
      </c>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32"/>
      <c r="AG598" s="222"/>
      <c r="AH598" s="222"/>
      <c r="AI598" s="558"/>
      <c r="AJ598" s="557"/>
      <c r="AK598" s="556"/>
      <c r="AL598" s="556"/>
    </row>
    <row r="599" spans="1:38" ht="14.25" customHeight="1" x14ac:dyDescent="0.2">
      <c r="A599" s="574" t="s">
        <v>288</v>
      </c>
      <c r="B599" s="353" t="s">
        <v>36</v>
      </c>
      <c r="C599" s="27"/>
      <c r="D599" s="27"/>
      <c r="E599" s="745"/>
      <c r="F599" s="770"/>
      <c r="G599" s="48" t="str">
        <f>IF(AD593="No", A599, B599)</f>
        <v xml:space="preserve"> Novel DNA &amp; /or novel protein in GM Flavouring used at MORE THAN 1mg/kg</v>
      </c>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32"/>
      <c r="AG599" s="222"/>
      <c r="AH599" s="222"/>
      <c r="AI599" s="558"/>
      <c r="AJ599" s="557"/>
      <c r="AK599" s="556"/>
      <c r="AL599" s="556"/>
    </row>
    <row r="600" spans="1:38" ht="14.25" customHeight="1" x14ac:dyDescent="0.2">
      <c r="A600" s="574" t="s">
        <v>289</v>
      </c>
      <c r="B600" s="335" t="s">
        <v>1107</v>
      </c>
      <c r="C600" s="27"/>
      <c r="D600" s="27"/>
      <c r="E600" s="745"/>
      <c r="F600" s="770"/>
      <c r="G600" s="48" t="str">
        <f>IF(AD593="No", A600, B600)</f>
        <v xml:space="preserve"> Other  - please specify:</v>
      </c>
      <c r="H600" s="120"/>
      <c r="I600" s="120"/>
      <c r="J600" s="120"/>
      <c r="K600" s="120"/>
      <c r="L600" s="120"/>
      <c r="M600" s="114"/>
      <c r="N600" s="114"/>
      <c r="O600" s="114"/>
      <c r="P600" s="114"/>
      <c r="Q600" s="114"/>
      <c r="R600" s="114"/>
      <c r="S600" s="114"/>
      <c r="T600" s="114"/>
      <c r="U600" s="114"/>
      <c r="V600" s="114"/>
      <c r="W600" s="114"/>
      <c r="X600" s="114"/>
      <c r="Y600" s="114"/>
      <c r="Z600" s="114"/>
      <c r="AA600" s="114"/>
      <c r="AB600" s="114"/>
      <c r="AC600" s="114"/>
      <c r="AD600" s="114"/>
      <c r="AE600" s="120"/>
      <c r="AF600" s="120"/>
      <c r="AG600" s="222"/>
      <c r="AH600" s="222"/>
      <c r="AI600" s="558"/>
      <c r="AJ600" s="557"/>
      <c r="AK600" s="556"/>
      <c r="AL600" s="556"/>
    </row>
    <row r="601" spans="1:38" ht="15" customHeight="1" x14ac:dyDescent="0.2">
      <c r="A601" s="560">
        <f>IF(AD593="Yes", IF(E600="Yes",1,0),0)</f>
        <v>0</v>
      </c>
      <c r="B601" s="337">
        <f>IF(AD593="No",IF(COUNTIF(E596:F600,"Yes")&gt;0,1,0),0)</f>
        <v>0</v>
      </c>
      <c r="C601" s="27"/>
      <c r="D601" s="27"/>
      <c r="E601" s="27"/>
      <c r="F601" s="27"/>
      <c r="G601" s="27"/>
      <c r="H601" s="27"/>
      <c r="I601" s="27"/>
      <c r="J601" s="1828"/>
      <c r="K601" s="1828"/>
      <c r="L601" s="1828"/>
      <c r="M601" s="1828"/>
      <c r="N601" s="1828"/>
      <c r="O601" s="1828"/>
      <c r="P601" s="1828"/>
      <c r="Q601" s="1828"/>
      <c r="R601" s="1828"/>
      <c r="S601" s="1828"/>
      <c r="T601" s="1828"/>
      <c r="U601" s="1828"/>
      <c r="V601" s="1828"/>
      <c r="W601" s="1828"/>
      <c r="X601" s="1828"/>
      <c r="Y601" s="1828"/>
      <c r="Z601" s="1828"/>
      <c r="AA601" s="1828"/>
      <c r="AB601" s="1828"/>
      <c r="AC601" s="1828"/>
      <c r="AD601" s="1828"/>
      <c r="AE601" s="1828"/>
      <c r="AF601" s="1828"/>
      <c r="AG601" s="222"/>
      <c r="AH601" s="222"/>
      <c r="AI601" s="558"/>
      <c r="AJ601" s="557"/>
      <c r="AK601" s="556"/>
      <c r="AL601" s="556"/>
    </row>
    <row r="602" spans="1:38" ht="2.25" customHeight="1" x14ac:dyDescent="0.2">
      <c r="A602" s="562"/>
      <c r="B602" s="335"/>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222"/>
      <c r="AI602" s="558"/>
      <c r="AK602" s="556"/>
      <c r="AL602" s="556"/>
    </row>
    <row r="603" spans="1:38" ht="15.75" customHeight="1" x14ac:dyDescent="0.2">
      <c r="A603" s="562"/>
      <c r="B603" s="335"/>
      <c r="C603" s="111" t="s">
        <v>269</v>
      </c>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745"/>
      <c r="AE603" s="770"/>
      <c r="AF603" s="323" t="s">
        <v>697</v>
      </c>
      <c r="AG603" s="58"/>
      <c r="AH603" s="222"/>
      <c r="AI603" s="558"/>
      <c r="AJ603" s="557">
        <f>IF(AD584="Yes", IF(AD591="Yes", IF(AD603="Yes",1, IF(AD603="No",1,0)),1),IF(AD584="no",1,0))</f>
        <v>0</v>
      </c>
      <c r="AK603" s="556">
        <f>IF(AF115="X",IF(AD574="No", 2, IF(AJ603=0,1,2)),0)</f>
        <v>0</v>
      </c>
      <c r="AL603" s="556"/>
    </row>
    <row r="604" spans="1:38" ht="2.25" customHeight="1" x14ac:dyDescent="0.2">
      <c r="A604" s="562"/>
      <c r="B604" s="335"/>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222"/>
      <c r="AI604" s="558"/>
      <c r="AK604" s="556"/>
      <c r="AL604" s="556"/>
    </row>
    <row r="605" spans="1:38" ht="15" customHeight="1" x14ac:dyDescent="0.2">
      <c r="A605" s="562">
        <f>IF(AD605="Yes",1,IF(AD605="No",IF(AD607="No",3,2),0))</f>
        <v>0</v>
      </c>
      <c r="B605" s="335"/>
      <c r="C605" s="83" t="s">
        <v>270</v>
      </c>
      <c r="D605" s="478"/>
      <c r="E605" s="478"/>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1072"/>
      <c r="AE605" s="1072"/>
      <c r="AF605" s="480" t="s">
        <v>697</v>
      </c>
      <c r="AG605" s="222"/>
      <c r="AH605" s="222"/>
      <c r="AI605" s="558"/>
      <c r="AJ605" s="557">
        <f>IF(AD584&gt;"A",IF(AD593="Yes",IF(AD605="Yes",IF(E609&gt;"a",1,0),IF(AD605="No",IF(AD607&gt;"A",1,0),0)),1),0)</f>
        <v>0</v>
      </c>
      <c r="AK605" s="556">
        <f>IF(AF143="X",IF(AD605="Yes", IF(AJ605=0,1,2),0),0)</f>
        <v>0</v>
      </c>
      <c r="AL605" s="556"/>
    </row>
    <row r="606" spans="1:38" ht="2.25" customHeight="1" x14ac:dyDescent="0.2">
      <c r="A606" s="562"/>
      <c r="B606" s="335"/>
      <c r="C606" s="83"/>
      <c r="D606" s="478"/>
      <c r="E606" s="478"/>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261"/>
      <c r="AD606" s="261"/>
      <c r="AE606" s="261"/>
      <c r="AF606" s="261"/>
      <c r="AG606" s="261"/>
      <c r="AH606" s="261"/>
      <c r="AI606" s="558"/>
      <c r="AJ606" s="557"/>
      <c r="AK606" s="556"/>
      <c r="AL606" s="556"/>
    </row>
    <row r="607" spans="1:38" ht="15.75" customHeight="1" x14ac:dyDescent="0.2">
      <c r="A607" s="562" t="s">
        <v>290</v>
      </c>
      <c r="B607" s="335" t="s">
        <v>590</v>
      </c>
      <c r="C607" s="5"/>
      <c r="D607" s="5"/>
      <c r="E607" s="198"/>
      <c r="F607" s="85"/>
      <c r="G607" s="85"/>
      <c r="H607" s="85"/>
      <c r="I607" s="85"/>
      <c r="J607" s="85"/>
      <c r="K607" s="85"/>
      <c r="L607" s="85"/>
      <c r="M607" s="85"/>
      <c r="N607" s="85"/>
      <c r="O607" s="85"/>
      <c r="P607" s="85"/>
      <c r="Q607" s="85"/>
      <c r="R607" s="85"/>
      <c r="S607" s="85"/>
      <c r="T607" s="85"/>
      <c r="U607" s="85"/>
      <c r="V607" s="85"/>
      <c r="W607" s="85"/>
      <c r="X607" s="85"/>
      <c r="Y607" s="85"/>
      <c r="Z607" s="85"/>
      <c r="AA607" s="85"/>
      <c r="AB607" s="319" t="str">
        <f>IF(AD605="Yes",A607, IF( AD605="No", B607, ""))</f>
        <v/>
      </c>
      <c r="AC607" s="319"/>
      <c r="AD607" s="1072"/>
      <c r="AE607" s="1072"/>
      <c r="AF607" s="480" t="s">
        <v>697</v>
      </c>
      <c r="AH607" s="222"/>
      <c r="AI607" s="558"/>
      <c r="AK607" s="556"/>
      <c r="AL607" s="556"/>
    </row>
    <row r="608" spans="1:38" ht="23.25" customHeight="1" x14ac:dyDescent="0.2">
      <c r="A608" s="562" t="str">
        <f>"FOOD, FOOD ADDITIVE OR PROCESSING AID PRODUCED USING GENE TECHNOLOGY"</f>
        <v>FOOD, FOOD ADDITIVE OR PROCESSING AID PRODUCED USING GENE TECHNOLOGY</v>
      </c>
      <c r="B608" s="335" t="str">
        <f>"GM component may not be approved for use in Australia / New Zealand"</f>
        <v>GM component may not be approved for use in Australia / New Zealand</v>
      </c>
      <c r="C608" s="5"/>
      <c r="D608" s="5"/>
      <c r="E608" s="1807" t="b">
        <f>IF(AD605="Yes",A608,IF(AD607="No",B608))</f>
        <v>0</v>
      </c>
      <c r="F608" s="1807"/>
      <c r="G608" s="1807"/>
      <c r="H608" s="1807"/>
      <c r="I608" s="1807"/>
      <c r="J608" s="1807"/>
      <c r="K608" s="1807"/>
      <c r="L608" s="1807"/>
      <c r="M608" s="1807"/>
      <c r="N608" s="1807"/>
      <c r="O608" s="1807"/>
      <c r="P608" s="1807"/>
      <c r="Q608" s="1807"/>
      <c r="R608" s="1807"/>
      <c r="S608" s="1807" t="s">
        <v>226</v>
      </c>
      <c r="T608" s="1807"/>
      <c r="U608" s="1807"/>
      <c r="V608" s="1807"/>
      <c r="W608" s="1807"/>
      <c r="X608" s="1807"/>
      <c r="Y608" s="1807"/>
      <c r="Z608" s="1807"/>
      <c r="AA608" s="1807"/>
      <c r="AB608" s="1807"/>
      <c r="AC608" s="1807"/>
      <c r="AD608" s="1807"/>
      <c r="AE608" s="1807"/>
      <c r="AF608" s="1807"/>
      <c r="AH608" s="222"/>
      <c r="AI608" s="558"/>
      <c r="AJ608" s="557"/>
      <c r="AK608" s="556"/>
      <c r="AL608" s="556"/>
    </row>
    <row r="609" spans="1:38" ht="13.5" customHeight="1" x14ac:dyDescent="0.2">
      <c r="A609" s="562"/>
      <c r="B609" s="335"/>
      <c r="C609" s="5"/>
      <c r="D609" s="5"/>
      <c r="E609" s="1140"/>
      <c r="F609" s="1140"/>
      <c r="G609" s="1140"/>
      <c r="H609" s="1140"/>
      <c r="I609" s="1140"/>
      <c r="J609" s="1140"/>
      <c r="K609" s="1140"/>
      <c r="L609" s="1140"/>
      <c r="M609" s="1140"/>
      <c r="N609" s="1140"/>
      <c r="O609" s="1140"/>
      <c r="P609" s="1140"/>
      <c r="Q609" s="1140"/>
      <c r="R609" s="1140"/>
      <c r="S609" s="1140"/>
      <c r="T609" s="1140"/>
      <c r="U609" s="1140"/>
      <c r="V609" s="1140"/>
      <c r="W609" s="1140"/>
      <c r="X609" s="1140"/>
      <c r="Y609" s="1140"/>
      <c r="Z609" s="1140"/>
      <c r="AA609" s="1140"/>
      <c r="AB609" s="1140"/>
      <c r="AC609" s="1140"/>
      <c r="AD609" s="1140"/>
      <c r="AE609" s="1140"/>
      <c r="AF609" s="1140"/>
      <c r="AH609" s="222"/>
      <c r="AI609" s="558"/>
      <c r="AJ609" s="557"/>
      <c r="AK609" s="556"/>
      <c r="AL609" s="556"/>
    </row>
    <row r="610" spans="1:38" ht="13.5" customHeight="1" x14ac:dyDescent="0.2">
      <c r="A610" s="562"/>
      <c r="B610" s="335"/>
      <c r="C610" s="5"/>
      <c r="D610" s="5"/>
      <c r="E610" s="1140"/>
      <c r="F610" s="1140"/>
      <c r="G610" s="1140"/>
      <c r="H610" s="1140"/>
      <c r="I610" s="1140"/>
      <c r="J610" s="1140"/>
      <c r="K610" s="1140"/>
      <c r="L610" s="1140"/>
      <c r="M610" s="1140"/>
      <c r="N610" s="1140"/>
      <c r="O610" s="1140"/>
      <c r="P610" s="1140"/>
      <c r="Q610" s="1140"/>
      <c r="R610" s="1140"/>
      <c r="S610" s="1140"/>
      <c r="T610" s="1140"/>
      <c r="U610" s="1140"/>
      <c r="V610" s="1140"/>
      <c r="W610" s="1140"/>
      <c r="X610" s="1140"/>
      <c r="Y610" s="1140"/>
      <c r="Z610" s="1140"/>
      <c r="AA610" s="1140"/>
      <c r="AB610" s="1140"/>
      <c r="AC610" s="1140"/>
      <c r="AD610" s="1140"/>
      <c r="AE610" s="1140"/>
      <c r="AF610" s="1140"/>
      <c r="AH610" s="222"/>
      <c r="AI610" s="558"/>
      <c r="AJ610" s="557"/>
      <c r="AK610" s="556"/>
      <c r="AL610" s="556"/>
    </row>
    <row r="611" spans="1:38" ht="13.5" customHeight="1" x14ac:dyDescent="0.2">
      <c r="A611" s="562"/>
      <c r="B611" s="335"/>
      <c r="C611" s="5"/>
      <c r="D611" s="5"/>
      <c r="E611" s="1140"/>
      <c r="F611" s="1140"/>
      <c r="G611" s="1140"/>
      <c r="H611" s="1140"/>
      <c r="I611" s="1140"/>
      <c r="J611" s="1140"/>
      <c r="K611" s="1140"/>
      <c r="L611" s="1140"/>
      <c r="M611" s="1140"/>
      <c r="N611" s="1140"/>
      <c r="O611" s="1140"/>
      <c r="P611" s="1140"/>
      <c r="Q611" s="1140"/>
      <c r="R611" s="1140"/>
      <c r="S611" s="1140"/>
      <c r="T611" s="1140"/>
      <c r="U611" s="1140"/>
      <c r="V611" s="1140"/>
      <c r="W611" s="1140"/>
      <c r="X611" s="1140"/>
      <c r="Y611" s="1140"/>
      <c r="Z611" s="1140"/>
      <c r="AA611" s="1140"/>
      <c r="AB611" s="1140"/>
      <c r="AC611" s="1140"/>
      <c r="AD611" s="1140"/>
      <c r="AE611" s="1140"/>
      <c r="AF611" s="1140"/>
      <c r="AH611" s="222"/>
      <c r="AI611" s="558"/>
      <c r="AJ611" s="557"/>
      <c r="AK611" s="556"/>
      <c r="AL611" s="556"/>
    </row>
    <row r="612" spans="1:38" ht="16.5" customHeight="1" x14ac:dyDescent="0.2">
      <c r="A612" s="562"/>
      <c r="B612" s="335"/>
      <c r="C612" s="324" t="s">
        <v>109</v>
      </c>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128" t="s">
        <v>697</v>
      </c>
      <c r="AE612" s="58"/>
      <c r="AF612" s="58"/>
      <c r="AG612" s="58"/>
      <c r="AH612" s="222"/>
      <c r="AI612" s="558"/>
      <c r="AK612" s="556"/>
      <c r="AL612" s="556"/>
    </row>
    <row r="613" spans="1:38" ht="12" customHeight="1" x14ac:dyDescent="0.2">
      <c r="A613" s="562">
        <f>IF(AD585="No", 1, IF(A592&gt;1,2,1))</f>
        <v>1</v>
      </c>
      <c r="B613" s="335"/>
      <c r="C613" s="40" t="s">
        <v>227</v>
      </c>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77"/>
      <c r="AE613" s="77"/>
      <c r="AF613" s="77"/>
      <c r="AG613" s="222"/>
      <c r="AH613" s="222"/>
      <c r="AI613" s="558"/>
      <c r="AJ613" s="557"/>
      <c r="AK613" s="556"/>
      <c r="AL613" s="556"/>
    </row>
    <row r="614" spans="1:38" ht="14.25" customHeight="1" x14ac:dyDescent="0.2">
      <c r="A614" s="562">
        <f>IF(AD614="Yes",2, IF(AD616="yes",2,1))</f>
        <v>1</v>
      </c>
      <c r="B614" s="335"/>
      <c r="E614" s="250" t="s">
        <v>511</v>
      </c>
      <c r="F614" s="107"/>
      <c r="G614" s="107"/>
      <c r="H614" s="107"/>
      <c r="I614" s="107"/>
      <c r="J614" s="107"/>
      <c r="K614" s="107"/>
      <c r="L614" s="107"/>
      <c r="M614" s="107"/>
      <c r="N614" s="107"/>
      <c r="O614" s="107"/>
      <c r="P614" s="107"/>
      <c r="Q614" s="107"/>
      <c r="R614" s="107"/>
      <c r="S614" s="107"/>
      <c r="T614" s="107"/>
      <c r="U614" s="107"/>
      <c r="V614" s="107"/>
      <c r="W614" s="107"/>
      <c r="X614" s="107"/>
      <c r="Y614" s="107"/>
      <c r="Z614" s="107"/>
      <c r="AA614" s="107"/>
      <c r="AB614" s="107"/>
      <c r="AC614" s="107"/>
      <c r="AD614" s="745"/>
      <c r="AE614" s="770"/>
      <c r="AF614" s="106"/>
      <c r="AG614" s="222"/>
      <c r="AH614" s="222"/>
      <c r="AI614" s="558"/>
      <c r="AJ614" s="557">
        <f>IF(AD614="Yes",1, IF(AD614="No",1,0))</f>
        <v>0</v>
      </c>
      <c r="AK614" s="556">
        <f>IF(AF125="X", IF(AJ614=0,1,2),0)</f>
        <v>0</v>
      </c>
      <c r="AL614" s="556"/>
    </row>
    <row r="615" spans="1:38" ht="13.5" customHeight="1" x14ac:dyDescent="0.2">
      <c r="C615" s="59" t="s">
        <v>228</v>
      </c>
      <c r="D615" s="59"/>
      <c r="E615" s="59"/>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F615" s="222"/>
      <c r="AG615" s="222"/>
      <c r="AH615" s="222"/>
      <c r="AI615" s="558"/>
      <c r="AJ615" s="557"/>
      <c r="AK615" s="556"/>
      <c r="AL615" s="556"/>
    </row>
    <row r="616" spans="1:38" ht="14.25" customHeight="1" x14ac:dyDescent="0.2">
      <c r="C616" s="4"/>
      <c r="D616" s="4"/>
      <c r="E616" s="15" t="s">
        <v>1015</v>
      </c>
      <c r="F616" s="4"/>
      <c r="G616" s="4"/>
      <c r="H616" s="4"/>
      <c r="I616" s="4"/>
      <c r="J616" s="4"/>
      <c r="K616" s="4"/>
      <c r="L616" s="4"/>
      <c r="M616" s="4"/>
      <c r="N616" s="4"/>
      <c r="O616" s="4"/>
      <c r="P616" s="4"/>
      <c r="Q616" s="4"/>
      <c r="R616" s="4"/>
      <c r="S616" s="4"/>
      <c r="T616" s="4"/>
      <c r="U616" s="4"/>
      <c r="V616" s="4"/>
      <c r="W616" s="4"/>
      <c r="X616" s="4"/>
      <c r="Y616" s="4"/>
      <c r="Z616" s="4"/>
      <c r="AA616" s="4"/>
      <c r="AB616" s="4"/>
      <c r="AC616" s="4"/>
      <c r="AD616" s="745"/>
      <c r="AE616" s="770"/>
      <c r="AF616" s="106"/>
      <c r="AG616" s="222"/>
      <c r="AH616" s="222"/>
      <c r="AI616" s="558"/>
      <c r="AJ616" s="557">
        <f>IF(AD616="Yes",1, IF(AD616="No",1,0))</f>
        <v>0</v>
      </c>
      <c r="AK616" s="556">
        <f>IF(AF125="X", IF(AJ616=0,1,2),0)</f>
        <v>0</v>
      </c>
      <c r="AL616" s="556"/>
    </row>
    <row r="617" spans="1:38" ht="12.75" customHeight="1" x14ac:dyDescent="0.2">
      <c r="A617" s="560">
        <f>IF(AD618="Yes",1,IF(AD618="No",2,0))</f>
        <v>0</v>
      </c>
      <c r="C617" s="250" t="s">
        <v>229</v>
      </c>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77"/>
      <c r="AE617" s="77"/>
      <c r="AF617" s="77"/>
      <c r="AG617" s="77"/>
      <c r="AH617" s="236"/>
      <c r="AI617" s="558"/>
      <c r="AJ617" s="557"/>
      <c r="AK617" s="556"/>
      <c r="AL617" s="556"/>
    </row>
    <row r="618" spans="1:38" ht="14.25" customHeight="1" x14ac:dyDescent="0.2">
      <c r="E618" s="15" t="s">
        <v>264</v>
      </c>
      <c r="F618" s="107"/>
      <c r="G618" s="107"/>
      <c r="H618" s="107"/>
      <c r="I618" s="107"/>
      <c r="J618" s="107"/>
      <c r="K618" s="107"/>
      <c r="L618" s="107"/>
      <c r="M618" s="107"/>
      <c r="N618" s="107"/>
      <c r="O618" s="107"/>
      <c r="P618" s="107"/>
      <c r="Q618" s="107"/>
      <c r="R618" s="107"/>
      <c r="S618" s="107"/>
      <c r="T618" s="107"/>
      <c r="U618" s="107"/>
      <c r="V618" s="107"/>
      <c r="W618" s="107"/>
      <c r="X618" s="107"/>
      <c r="Y618" s="107"/>
      <c r="Z618" s="107"/>
      <c r="AA618" s="107"/>
      <c r="AB618" s="107"/>
      <c r="AC618" s="107"/>
      <c r="AD618" s="745"/>
      <c r="AE618" s="770"/>
      <c r="AF618" s="106"/>
      <c r="AG618" s="222"/>
      <c r="AH618" s="222"/>
      <c r="AI618" s="558"/>
      <c r="AJ618" s="557">
        <f>IF(AD616="No", 1, IF(AD618="Yes",1, IF(AD618="No",1,0)))</f>
        <v>0</v>
      </c>
      <c r="AK618" s="556">
        <f>IF(AF125="X", IF(AJ618=0,1,2),0)</f>
        <v>0</v>
      </c>
      <c r="AL618" s="556"/>
    </row>
    <row r="619" spans="1:38" ht="2.25" customHeight="1" x14ac:dyDescent="0.2">
      <c r="E619" s="15"/>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222"/>
      <c r="AH619" s="222"/>
      <c r="AI619" s="558"/>
      <c r="AJ619" s="557"/>
      <c r="AK619" s="556"/>
      <c r="AL619" s="556"/>
    </row>
    <row r="620" spans="1:38" ht="20.25" customHeight="1" x14ac:dyDescent="0.2">
      <c r="C620" s="1083" t="s">
        <v>303</v>
      </c>
      <c r="D620" s="1083"/>
      <c r="E620" s="1083"/>
      <c r="F620" s="1084"/>
      <c r="G620" s="790"/>
      <c r="H620" s="791"/>
      <c r="I620" s="791"/>
      <c r="J620" s="791"/>
      <c r="K620" s="791"/>
      <c r="L620" s="791"/>
      <c r="M620" s="791"/>
      <c r="N620" s="791"/>
      <c r="O620" s="791"/>
      <c r="P620" s="791"/>
      <c r="Q620" s="791"/>
      <c r="R620" s="791"/>
      <c r="S620" s="791"/>
      <c r="T620" s="791"/>
      <c r="U620" s="791"/>
      <c r="V620" s="791"/>
      <c r="W620" s="791"/>
      <c r="X620" s="791"/>
      <c r="Y620" s="791"/>
      <c r="Z620" s="791"/>
      <c r="AA620" s="791"/>
      <c r="AB620" s="791"/>
      <c r="AC620" s="792"/>
      <c r="AE620" s="222"/>
      <c r="AF620" s="222"/>
      <c r="AG620" s="222"/>
      <c r="AH620" s="222"/>
      <c r="AI620" s="558"/>
      <c r="AJ620" s="557"/>
      <c r="AK620" s="556"/>
      <c r="AL620" s="556"/>
    </row>
    <row r="621" spans="1:38" ht="2.25" customHeight="1" x14ac:dyDescent="0.2">
      <c r="B621" s="340"/>
      <c r="AH621" s="222"/>
      <c r="AI621" s="558"/>
      <c r="AJ621" s="557"/>
      <c r="AK621" s="556"/>
      <c r="AL621" s="556"/>
    </row>
    <row r="622" spans="1:38" ht="12.75" customHeight="1" x14ac:dyDescent="0.2">
      <c r="A622" s="560">
        <f xml:space="preserve"> IF(AD622="Yes", IF(AD624="No",1, IF(AD624="Yes",2,1)),IF(AD622="No",2,0))</f>
        <v>0</v>
      </c>
      <c r="C622" s="111" t="s">
        <v>230</v>
      </c>
      <c r="D622" s="40"/>
      <c r="AD622" s="745"/>
      <c r="AE622" s="770"/>
      <c r="AF622" s="106"/>
      <c r="AH622" s="222"/>
      <c r="AI622" s="558"/>
      <c r="AJ622" s="557">
        <f xml:space="preserve"> IF(AD622="Yes",IF(AD624&gt;"A",1,0), IF(AD622="No",1,0))</f>
        <v>0</v>
      </c>
      <c r="AK622" s="556">
        <f>IF(AF125="X", IF(AJ622=0,1,2),0)</f>
        <v>0</v>
      </c>
      <c r="AL622" s="556"/>
    </row>
    <row r="623" spans="1:38" ht="2.4500000000000002" customHeight="1" x14ac:dyDescent="0.2">
      <c r="AH623" s="222"/>
      <c r="AI623" s="558"/>
      <c r="AJ623" s="557"/>
      <c r="AK623" s="556"/>
      <c r="AL623" s="556"/>
    </row>
    <row r="624" spans="1:38" ht="12" customHeight="1" x14ac:dyDescent="0.2">
      <c r="E624" s="418"/>
      <c r="AB624" s="481" t="s">
        <v>263</v>
      </c>
      <c r="AD624" s="745"/>
      <c r="AE624" s="770"/>
      <c r="AH624" s="222"/>
      <c r="AI624" s="558"/>
      <c r="AJ624" s="557"/>
      <c r="AK624" s="556"/>
      <c r="AL624" s="556"/>
    </row>
    <row r="625" spans="1:68" ht="2.4500000000000002" customHeight="1" x14ac:dyDescent="0.2">
      <c r="AH625" s="222"/>
      <c r="AI625" s="558"/>
      <c r="AJ625" s="557"/>
      <c r="AK625" s="556"/>
      <c r="AL625" s="556"/>
    </row>
    <row r="626" spans="1:68" ht="13.5" customHeight="1" x14ac:dyDescent="0.2">
      <c r="C626" s="45" t="s">
        <v>231</v>
      </c>
      <c r="AD626" s="745"/>
      <c r="AE626" s="770"/>
      <c r="AF626" s="106"/>
      <c r="AH626" s="222"/>
      <c r="AI626" s="558"/>
      <c r="AJ626" s="557">
        <f>IF(AD626="Yes",1, IF(AD626="No",1,0))</f>
        <v>0</v>
      </c>
      <c r="AK626" s="556">
        <f>IF(AF125="X", IF(AJ626=0,1,2),0)</f>
        <v>0</v>
      </c>
      <c r="AL626" s="556"/>
    </row>
    <row r="627" spans="1:68" ht="2.4500000000000002" customHeight="1" x14ac:dyDescent="0.2">
      <c r="C627" s="45"/>
      <c r="E627" s="208"/>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H627" s="222"/>
      <c r="AI627" s="558"/>
      <c r="AJ627" s="557"/>
      <c r="AK627" s="556"/>
      <c r="AL627" s="556"/>
    </row>
    <row r="628" spans="1:68" ht="14.25" customHeight="1" x14ac:dyDescent="0.2">
      <c r="A628" s="560">
        <f>IF(AD603="Yes",5,IF(AD626="Yes", IF(AD624="No", 0,5),0))</f>
        <v>0</v>
      </c>
      <c r="B628" s="332">
        <f>A628+(A591*A613)+(A622+A617+A614)</f>
        <v>1</v>
      </c>
      <c r="C628" s="45"/>
      <c r="E628" s="208" t="str">
        <f>IF(B628=5,A629, IF(B628=8,A630,IF(B628&gt;9,B629,IF(B628=6, A629,IF(B628=4, A629,"")))))</f>
        <v/>
      </c>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H628" s="222"/>
      <c r="AI628" s="558"/>
      <c r="AJ628" s="557"/>
      <c r="AK628" s="556"/>
      <c r="AL628" s="556"/>
    </row>
    <row r="629" spans="1:68" ht="3" customHeight="1" x14ac:dyDescent="0.2">
      <c r="A629" s="575" t="s">
        <v>291</v>
      </c>
      <c r="B629" s="354" t="s">
        <v>2</v>
      </c>
      <c r="C629" s="45"/>
      <c r="AH629" s="222"/>
      <c r="AI629" s="558"/>
      <c r="AJ629" s="557"/>
      <c r="AK629" s="556"/>
      <c r="AL629" s="556"/>
    </row>
    <row r="630" spans="1:68" ht="13.5" customHeight="1" x14ac:dyDescent="0.2">
      <c r="A630" s="575" t="s">
        <v>292</v>
      </c>
      <c r="B630" s="333" t="s">
        <v>262</v>
      </c>
      <c r="C630" s="114" t="s">
        <v>232</v>
      </c>
      <c r="D630" s="59"/>
      <c r="E630" s="59"/>
      <c r="AD630" s="745"/>
      <c r="AE630" s="770"/>
      <c r="AF630" s="106"/>
      <c r="AH630" s="34" t="s">
        <v>682</v>
      </c>
      <c r="AI630" s="558"/>
      <c r="AJ630" s="557"/>
      <c r="AK630" s="556"/>
      <c r="AL630" s="556"/>
    </row>
    <row r="631" spans="1:68" ht="13.5" customHeight="1" x14ac:dyDescent="0.2">
      <c r="A631" s="575"/>
      <c r="C631" s="114"/>
      <c r="D631" s="59"/>
      <c r="E631" s="250" t="s">
        <v>86</v>
      </c>
      <c r="AD631" s="255"/>
      <c r="AE631" s="255"/>
      <c r="AF631" s="255"/>
      <c r="AG631" s="255"/>
      <c r="AH631" s="222"/>
      <c r="AI631" s="558"/>
      <c r="AJ631" s="557"/>
      <c r="AK631" s="556"/>
      <c r="AL631" s="556"/>
    </row>
    <row r="632" spans="1:68" ht="24" customHeight="1" x14ac:dyDescent="0.2">
      <c r="C632" s="1083" t="s">
        <v>303</v>
      </c>
      <c r="D632" s="1083"/>
      <c r="E632" s="1083"/>
      <c r="F632" s="1084"/>
      <c r="G632" s="790"/>
      <c r="H632" s="791"/>
      <c r="I632" s="791"/>
      <c r="J632" s="791"/>
      <c r="K632" s="791"/>
      <c r="L632" s="791"/>
      <c r="M632" s="791"/>
      <c r="N632" s="791"/>
      <c r="O632" s="791"/>
      <c r="P632" s="791"/>
      <c r="Q632" s="791"/>
      <c r="R632" s="791"/>
      <c r="S632" s="791"/>
      <c r="T632" s="791"/>
      <c r="U632" s="791"/>
      <c r="V632" s="791"/>
      <c r="W632" s="791"/>
      <c r="X632" s="791"/>
      <c r="Y632" s="791"/>
      <c r="Z632" s="791"/>
      <c r="AA632" s="791"/>
      <c r="AB632" s="791"/>
      <c r="AC632" s="792"/>
      <c r="AE632" s="222"/>
      <c r="AF632" s="222"/>
      <c r="AH632" s="222"/>
      <c r="AI632" s="558"/>
      <c r="AJ632" s="557"/>
      <c r="AK632" s="556"/>
      <c r="AL632" s="556"/>
    </row>
    <row r="633" spans="1:68" s="8" customFormat="1" ht="2.4500000000000002" customHeight="1" x14ac:dyDescent="0.2">
      <c r="A633" s="563"/>
      <c r="B633" s="334"/>
      <c r="C633" s="273"/>
      <c r="D633" s="273"/>
      <c r="E633" s="273"/>
      <c r="F633" s="273"/>
      <c r="G633" s="273"/>
      <c r="H633" s="273"/>
      <c r="I633" s="482"/>
      <c r="J633" s="482"/>
      <c r="K633" s="482"/>
      <c r="L633" s="482"/>
      <c r="M633" s="482"/>
      <c r="N633" s="482"/>
      <c r="O633" s="482"/>
      <c r="P633" s="482"/>
      <c r="Q633" s="482"/>
      <c r="R633" s="482"/>
      <c r="S633" s="482"/>
      <c r="T633" s="483"/>
      <c r="U633" s="483"/>
      <c r="V633" s="483"/>
      <c r="W633" s="257"/>
      <c r="X633" s="257"/>
      <c r="Y633" s="257"/>
      <c r="Z633" s="257"/>
      <c r="AA633" s="257"/>
      <c r="AB633" s="257"/>
      <c r="AC633" s="257"/>
      <c r="AD633" s="257"/>
      <c r="AE633" s="257"/>
      <c r="AF633" s="257"/>
      <c r="AG633" s="257"/>
      <c r="AH633" s="257"/>
      <c r="AI633" s="597"/>
      <c r="AJ633" s="598"/>
      <c r="AK633" s="599"/>
      <c r="AL633" s="599"/>
      <c r="AM633" s="386"/>
      <c r="AN633" s="386"/>
      <c r="AO633" s="386"/>
      <c r="AP633" s="386"/>
      <c r="AQ633" s="386"/>
      <c r="AR633" s="386"/>
      <c r="AS633" s="386"/>
      <c r="AT633" s="386"/>
      <c r="AU633" s="386"/>
      <c r="AV633" s="386"/>
      <c r="AW633" s="386"/>
      <c r="AX633" s="386"/>
      <c r="AY633" s="386"/>
      <c r="AZ633" s="386"/>
      <c r="BA633" s="386"/>
      <c r="BB633" s="386"/>
      <c r="BC633" s="386"/>
      <c r="BD633" s="386"/>
      <c r="BE633" s="386"/>
      <c r="BF633" s="386"/>
      <c r="BG633" s="386"/>
      <c r="BH633" s="386"/>
      <c r="BI633" s="386"/>
      <c r="BJ633" s="386"/>
      <c r="BK633" s="386"/>
      <c r="BL633" s="386"/>
      <c r="BM633" s="386"/>
      <c r="BN633" s="386"/>
      <c r="BO633" s="386"/>
      <c r="BP633" s="386"/>
    </row>
    <row r="634" spans="1:68" ht="15.75" customHeight="1" x14ac:dyDescent="0.25">
      <c r="A634" s="562"/>
      <c r="B634" s="335"/>
      <c r="C634" s="894" t="s">
        <v>237</v>
      </c>
      <c r="D634" s="894"/>
      <c r="E634" s="894"/>
      <c r="F634" s="894"/>
      <c r="G634" s="894"/>
      <c r="H634" s="894"/>
      <c r="I634" s="894"/>
      <c r="J634" s="894"/>
      <c r="K634" s="894"/>
      <c r="L634" s="894"/>
      <c r="M634" s="894"/>
      <c r="N634" s="894"/>
      <c r="O634" s="894"/>
      <c r="P634" s="894"/>
      <c r="Q634" s="894"/>
      <c r="R634" s="894"/>
      <c r="S634" s="894"/>
      <c r="T634" s="894"/>
      <c r="U634" s="894"/>
      <c r="V634" s="894"/>
      <c r="W634" s="894"/>
      <c r="X634" s="894"/>
      <c r="Y634" s="894"/>
      <c r="Z634" s="894"/>
      <c r="AA634" s="894"/>
      <c r="AB634" s="894"/>
      <c r="AC634" s="894"/>
      <c r="AD634" s="894"/>
      <c r="AE634" s="894"/>
      <c r="AF634" s="894"/>
      <c r="AG634" s="894"/>
      <c r="AH634" s="34"/>
      <c r="AI634" s="558"/>
      <c r="AJ634" s="557"/>
      <c r="AK634" s="556"/>
      <c r="AL634" s="556"/>
    </row>
    <row r="635" spans="1:68" ht="3" customHeight="1" x14ac:dyDescent="0.2">
      <c r="A635" s="562" t="s">
        <v>293</v>
      </c>
      <c r="B635" s="335"/>
      <c r="AH635" s="222"/>
      <c r="AI635" s="558"/>
      <c r="AJ635" s="557"/>
      <c r="AK635" s="556"/>
      <c r="AL635" s="556"/>
    </row>
    <row r="636" spans="1:68" ht="11.25" customHeight="1" x14ac:dyDescent="0.2">
      <c r="A636" s="562"/>
      <c r="B636" s="335"/>
      <c r="C636" s="769" t="s">
        <v>238</v>
      </c>
      <c r="D636" s="769"/>
      <c r="E636" s="769"/>
      <c r="F636" s="769"/>
      <c r="G636" s="769"/>
      <c r="H636" s="769"/>
      <c r="I636" s="769"/>
      <c r="J636" s="769"/>
      <c r="K636" s="769"/>
      <c r="L636" s="769"/>
      <c r="M636" s="769"/>
      <c r="N636" s="769"/>
      <c r="O636" s="769"/>
      <c r="P636" s="769"/>
      <c r="Q636" s="769"/>
      <c r="R636" s="769"/>
      <c r="S636" s="769"/>
      <c r="T636" s="769"/>
      <c r="U636" s="769"/>
      <c r="V636" s="769"/>
      <c r="W636" s="769"/>
      <c r="X636" s="769"/>
      <c r="Y636" s="769"/>
      <c r="Z636" s="769"/>
      <c r="AA636" s="769"/>
      <c r="AB636" s="769"/>
      <c r="AC636" s="769"/>
      <c r="AD636" s="769"/>
      <c r="AE636" s="769"/>
      <c r="AF636" s="769"/>
      <c r="AG636" s="769"/>
      <c r="AH636" s="222"/>
      <c r="AI636" s="558"/>
      <c r="AJ636" s="557"/>
      <c r="AK636" s="556"/>
      <c r="AL636" s="556"/>
    </row>
    <row r="637" spans="1:68" ht="9.75" customHeight="1" x14ac:dyDescent="0.2">
      <c r="A637" s="560" t="s">
        <v>124</v>
      </c>
      <c r="B637" s="337"/>
      <c r="C637" s="75"/>
      <c r="D637" s="75"/>
      <c r="E637" s="1" t="s">
        <v>697</v>
      </c>
      <c r="AH637" s="222"/>
      <c r="AI637" s="558"/>
      <c r="AJ637" s="557"/>
      <c r="AK637" s="556"/>
      <c r="AL637" s="556"/>
      <c r="AM637" s="387"/>
      <c r="AN637" s="387"/>
      <c r="AO637" s="387"/>
      <c r="AP637" s="387"/>
    </row>
    <row r="638" spans="1:68" ht="13.5" customHeight="1" x14ac:dyDescent="0.2">
      <c r="A638" s="560" t="s">
        <v>123</v>
      </c>
      <c r="B638" s="338">
        <f>B138</f>
        <v>0</v>
      </c>
      <c r="C638" s="75"/>
      <c r="E638" s="745"/>
      <c r="F638" s="770"/>
      <c r="H638" s="147" t="str">
        <f>IF(B638=5, "Is product to be drained before use?", "")</f>
        <v/>
      </c>
      <c r="I638" s="115"/>
      <c r="J638" s="115"/>
      <c r="K638" s="115"/>
      <c r="L638" s="115"/>
      <c r="M638" s="115"/>
      <c r="N638" s="115"/>
      <c r="O638" s="115"/>
      <c r="P638" s="115"/>
      <c r="Q638" s="115"/>
      <c r="R638" s="115"/>
      <c r="S638" s="115"/>
      <c r="T638" s="115"/>
      <c r="U638" s="115" t="str">
        <f>IF(B638=1, A638, IF(B638=2,A637, ""))</f>
        <v/>
      </c>
      <c r="V638" s="1073"/>
      <c r="W638" s="1818"/>
      <c r="X638" s="1818"/>
      <c r="Y638" s="1819"/>
      <c r="Z638" s="115"/>
      <c r="AC638" s="18" t="str">
        <f>IF(U638&gt;"A", "Temperature","")</f>
        <v/>
      </c>
      <c r="AD638" s="1820"/>
      <c r="AE638" s="1821"/>
      <c r="AF638" s="341" t="s">
        <v>359</v>
      </c>
      <c r="AH638" s="222"/>
      <c r="AI638" s="558"/>
      <c r="AJ638" s="557">
        <f>IF(B638=0,0,IF(B638=1,IF(V638&gt;0,1,0),IF(B638=2,IF(V638&gt;0,1,0),IF(B638=5,IF(E638&gt;"a",1,0),1))))</f>
        <v>0</v>
      </c>
      <c r="AK638" s="556">
        <f>IF(H637&gt;"a", IF(AF125="X", IF(AJ638=0,1,2),0),0)</f>
        <v>0</v>
      </c>
      <c r="AL638" s="556"/>
      <c r="AM638" s="387"/>
      <c r="AN638" s="387"/>
      <c r="AO638" s="387"/>
      <c r="AP638" s="387"/>
    </row>
    <row r="639" spans="1:68" ht="2.25" customHeight="1" x14ac:dyDescent="0.2">
      <c r="A639" s="576" t="s">
        <v>294</v>
      </c>
      <c r="B639" s="338" t="s">
        <v>1082</v>
      </c>
      <c r="C639" s="7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222"/>
      <c r="AI639" s="558"/>
      <c r="AJ639" s="557"/>
      <c r="AK639" s="556"/>
      <c r="AL639" s="556"/>
      <c r="AM639" s="387"/>
      <c r="AN639" s="387"/>
      <c r="AO639" s="387"/>
      <c r="AP639" s="387"/>
    </row>
    <row r="640" spans="1:68" ht="14.25" customHeight="1" x14ac:dyDescent="0.2">
      <c r="A640" s="560" t="s">
        <v>295</v>
      </c>
      <c r="B640" s="332" t="s">
        <v>1084</v>
      </c>
      <c r="C640" s="200" t="str">
        <f>IF(B638=2,A641, IF(B638=4,B641,""))</f>
        <v/>
      </c>
      <c r="D640" s="76"/>
      <c r="E640" s="76"/>
      <c r="F640" s="76"/>
      <c r="G640" s="76"/>
      <c r="H640" s="200"/>
      <c r="I640" s="76"/>
      <c r="J640" s="76"/>
      <c r="K640" s="484"/>
      <c r="L640" s="484"/>
      <c r="M640" s="484"/>
      <c r="N640" s="484"/>
      <c r="O640" s="484"/>
      <c r="P640" s="164" t="str">
        <f>IF(B638=2,A640, IF(B638=4,A642,""))</f>
        <v/>
      </c>
      <c r="Q640" s="1073"/>
      <c r="R640" s="1817"/>
      <c r="S640" s="251" t="s">
        <v>1083</v>
      </c>
      <c r="T640" s="155"/>
      <c r="U640" s="484"/>
      <c r="V640" s="484"/>
      <c r="W640" s="484"/>
      <c r="X640" s="484"/>
      <c r="Y640" s="1073"/>
      <c r="Z640" s="1074"/>
      <c r="AA640" s="156" t="str">
        <f>IF(B638=2,B640, IF(B638=4,B642,""))</f>
        <v/>
      </c>
      <c r="AB640" s="156"/>
      <c r="AC640" s="484"/>
      <c r="AD640" s="484"/>
      <c r="AE640" s="484"/>
      <c r="AF640" s="484"/>
      <c r="AH640" s="222"/>
      <c r="AI640" s="558"/>
      <c r="AJ640" s="557">
        <f>IF(B638=0,0,IF(B638=2,IF(Q640&gt;0, IF(Y640&gt;0,1,0),0),IF(B638=4,IF(Q640&gt;0,IF(Y640&gt;0,1,0),0),1)))</f>
        <v>0</v>
      </c>
      <c r="AK640" s="556">
        <f>IF(H637&gt;"a", IF(AF125="X", IF(AJ640=0,1,2),0),0)</f>
        <v>0</v>
      </c>
      <c r="AL640" s="602"/>
      <c r="AM640" s="387"/>
      <c r="AN640" s="387"/>
      <c r="AO640" s="387"/>
      <c r="AP640" s="387"/>
    </row>
    <row r="641" spans="1:47" ht="14.25" customHeight="1" x14ac:dyDescent="0.2">
      <c r="A641" s="577" t="s">
        <v>296</v>
      </c>
      <c r="B641" s="332" t="s">
        <v>998</v>
      </c>
      <c r="C641" s="76"/>
      <c r="D641" s="76"/>
      <c r="E641" s="76"/>
      <c r="F641" s="76"/>
      <c r="G641" s="76"/>
      <c r="H641" s="76"/>
      <c r="I641" s="76" t="str">
        <f>IF(Q640&gt;0, IF(Y640/Q640&gt;0, A643,""),"")</f>
        <v/>
      </c>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H641" s="222"/>
      <c r="AI641" s="558"/>
      <c r="AJ641" s="557"/>
      <c r="AK641" s="602"/>
      <c r="AL641" s="602"/>
      <c r="AM641" s="387"/>
      <c r="AN641" s="389"/>
      <c r="AO641" s="387"/>
      <c r="AP641" s="387"/>
    </row>
    <row r="642" spans="1:47" ht="12.75" customHeight="1" x14ac:dyDescent="0.2">
      <c r="A642" s="560" t="s">
        <v>297</v>
      </c>
      <c r="B642" s="338" t="s">
        <v>517</v>
      </c>
      <c r="C642" s="222"/>
      <c r="D642" s="222"/>
      <c r="E642" s="222"/>
      <c r="F642" s="222"/>
      <c r="G642" s="222"/>
      <c r="H642" s="222"/>
      <c r="I642" s="222"/>
      <c r="J642" s="222"/>
      <c r="K642" s="222"/>
      <c r="L642" s="222"/>
      <c r="M642" s="222"/>
      <c r="N642" s="222"/>
      <c r="O642" s="222"/>
      <c r="P642" s="222"/>
      <c r="Q642" s="222"/>
      <c r="R642" s="222"/>
      <c r="S642" s="222"/>
      <c r="T642" s="222"/>
      <c r="U642" s="222"/>
      <c r="V642" s="222"/>
      <c r="W642" s="222"/>
      <c r="X642" s="222"/>
      <c r="Y642" s="222"/>
      <c r="Z642" s="458"/>
      <c r="AA642" s="222"/>
      <c r="AB642" s="222"/>
      <c r="AC642" s="222"/>
      <c r="AD642" s="222"/>
      <c r="AE642" s="222"/>
      <c r="AF642" s="222"/>
      <c r="AG642" s="222"/>
      <c r="AH642" s="222"/>
      <c r="AI642" s="558"/>
      <c r="AJ642" s="602"/>
      <c r="AK642" s="602"/>
      <c r="AL642" s="602"/>
      <c r="AM642" s="387"/>
      <c r="AN642" s="387"/>
      <c r="AO642" s="387"/>
      <c r="AP642" s="387"/>
    </row>
    <row r="643" spans="1:47" ht="14.25" customHeight="1" x14ac:dyDescent="0.2">
      <c r="A643" s="562" t="str">
        <f>"Equivalent to a factor of "&amp; (TEXT((Y640/100),"0.00"))</f>
        <v>Equivalent to a factor of 0.00</v>
      </c>
      <c r="B643" s="337"/>
      <c r="C643" s="63" t="s">
        <v>239</v>
      </c>
      <c r="D643" s="418"/>
      <c r="E643" s="75" t="str">
        <f>IF(B136&gt;=3,B646, B647)</f>
        <v>Serve size is not relevant for this product.</v>
      </c>
      <c r="F643" s="418"/>
      <c r="G643" s="418"/>
      <c r="H643" s="418"/>
      <c r="I643" s="418"/>
      <c r="J643" s="418"/>
      <c r="K643" s="418"/>
      <c r="L643" s="418"/>
      <c r="M643" s="418"/>
      <c r="N643" s="418"/>
      <c r="O643" s="418"/>
      <c r="P643" s="418"/>
      <c r="Q643" s="418"/>
      <c r="R643" s="418"/>
      <c r="S643" s="418"/>
      <c r="T643" s="418"/>
      <c r="U643" s="418"/>
      <c r="V643" s="1729"/>
      <c r="W643" s="1729"/>
      <c r="X643" s="1729"/>
      <c r="Y643" s="1829" t="b">
        <f>IF(B638&gt;0, IF(B638&gt;=3,"gram","mL"))</f>
        <v>0</v>
      </c>
      <c r="Z643" s="1830"/>
      <c r="AA643" s="485"/>
      <c r="AB643" s="418"/>
      <c r="AC643" s="418"/>
      <c r="AD643" s="418"/>
      <c r="AE643" s="418"/>
      <c r="AF643" s="418"/>
      <c r="AH643" s="222"/>
      <c r="AI643" s="558"/>
      <c r="AJ643" s="603">
        <f>IF(B136=1,1,IF(B136=2,1,IF(V643&gt;=1,1,0)))</f>
        <v>0</v>
      </c>
      <c r="AK643" s="603">
        <f>IF(B648=1, IF(AF125="X", IF(AJ643=1,2,1),0),2)</f>
        <v>2</v>
      </c>
      <c r="AL643" s="602"/>
      <c r="AM643" s="387"/>
      <c r="AN643" s="387" t="str">
        <f>IF(A653=1, IF(LEFT(M653,9)="less than", IF(AP653&lt;1, "less than 1",("less than "&amp;TEXT((AP653),"0.0"))),(AP653)),IF(A653=7,"Wrong Text",""))</f>
        <v/>
      </c>
      <c r="AO643" s="387"/>
      <c r="AP643" s="387"/>
    </row>
    <row r="644" spans="1:47" ht="2.4500000000000002" customHeight="1" thickBot="1" x14ac:dyDescent="0.25">
      <c r="A644" s="562"/>
      <c r="B644" s="337"/>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418"/>
      <c r="AH644" s="222"/>
      <c r="AI644" s="558"/>
      <c r="AJ644" s="603"/>
      <c r="AK644" s="602"/>
      <c r="AL644" s="602"/>
      <c r="AM644" s="387"/>
      <c r="AN644" s="387"/>
      <c r="AO644" s="387"/>
      <c r="AP644" s="387"/>
    </row>
    <row r="645" spans="1:47" ht="14.25" customHeight="1" thickBot="1" x14ac:dyDescent="0.25">
      <c r="A645" s="562"/>
      <c r="B645" s="337"/>
      <c r="C645" s="63" t="s">
        <v>240</v>
      </c>
      <c r="D645" s="486"/>
      <c r="E645" s="486"/>
      <c r="F645" s="486"/>
      <c r="G645" s="486"/>
      <c r="H645" s="486"/>
      <c r="I645" s="486"/>
      <c r="J645" s="486"/>
      <c r="K645" s="486"/>
      <c r="L645" s="486"/>
      <c r="M645" s="486"/>
      <c r="N645" s="486"/>
      <c r="O645" s="486"/>
      <c r="P645" s="486"/>
      <c r="Q645" s="486"/>
      <c r="R645" s="486"/>
      <c r="S645" s="486"/>
      <c r="T645" s="486"/>
      <c r="U645" s="486"/>
      <c r="V645" s="486"/>
      <c r="W645" s="486"/>
      <c r="X645" s="486"/>
      <c r="Y645" s="486"/>
      <c r="Z645" s="165"/>
      <c r="AA645" s="12" t="s">
        <v>101</v>
      </c>
      <c r="AB645" s="261"/>
      <c r="AC645" s="12"/>
      <c r="AD645" s="165"/>
      <c r="AE645" s="12" t="s">
        <v>118</v>
      </c>
      <c r="AF645" s="486"/>
      <c r="AG645" s="486"/>
      <c r="AH645" s="486"/>
      <c r="AI645" s="558"/>
      <c r="AJ645" s="603">
        <f xml:space="preserve"> IF(Z645="X",1,IF(AD645="X",1,0))</f>
        <v>0</v>
      </c>
      <c r="AK645" s="556">
        <f>IF(AF125="X", IF(AJ645=0,1,2),0)</f>
        <v>0</v>
      </c>
      <c r="AL645" s="602"/>
      <c r="AM645" s="387"/>
      <c r="AN645" s="387" t="str">
        <f>IF(A651=1, IF(LEFT(V651,9)="less than", IF(AN651="~0%", AN651,"&lt; "&amp;AN651), AN651),"")</f>
        <v/>
      </c>
      <c r="AO645" s="387"/>
      <c r="AP645" s="387"/>
    </row>
    <row r="646" spans="1:47" ht="15" customHeight="1" x14ac:dyDescent="0.2">
      <c r="A646" s="562"/>
      <c r="B646" s="355" t="s">
        <v>178</v>
      </c>
      <c r="C646" s="63" t="s">
        <v>100</v>
      </c>
      <c r="Z646" s="21"/>
      <c r="AH646" s="222"/>
      <c r="AI646" s="558"/>
      <c r="AJ646" s="603"/>
      <c r="AK646" s="556"/>
      <c r="AL646" s="602"/>
      <c r="AM646" s="390"/>
      <c r="AN646" s="390"/>
      <c r="AO646" s="390"/>
      <c r="AP646" s="390"/>
    </row>
    <row r="647" spans="1:47" ht="3" customHeight="1" x14ac:dyDescent="0.2">
      <c r="A647" s="562"/>
      <c r="B647" s="337" t="s">
        <v>752</v>
      </c>
      <c r="Q647" s="144"/>
      <c r="AH647" s="222"/>
      <c r="AI647" s="558"/>
      <c r="AJ647" s="557"/>
      <c r="AK647" s="556"/>
      <c r="AL647" s="556"/>
      <c r="AM647" s="387"/>
      <c r="AN647" s="387"/>
      <c r="AO647" s="387"/>
      <c r="AP647" s="387"/>
    </row>
    <row r="648" spans="1:47" ht="15.75" customHeight="1" x14ac:dyDescent="0.2">
      <c r="A648" s="562">
        <f>COUNTA(V650,V651,V653,V654,V659,V660,V662)</f>
        <v>0</v>
      </c>
      <c r="B648" s="356">
        <f>IF(B136&gt;=3,1,0)</f>
        <v>0</v>
      </c>
      <c r="C648" s="1085" t="s">
        <v>42</v>
      </c>
      <c r="D648" s="1086"/>
      <c r="E648" s="1086"/>
      <c r="F648" s="1086"/>
      <c r="G648" s="1086"/>
      <c r="H648" s="1086"/>
      <c r="I648" s="1086"/>
      <c r="J648" s="1086"/>
      <c r="K648" s="1086"/>
      <c r="L648" s="1086"/>
      <c r="M648" s="1822" t="s">
        <v>326</v>
      </c>
      <c r="N648" s="1822"/>
      <c r="O648" s="1822"/>
      <c r="P648" s="1822"/>
      <c r="Q648" s="1822"/>
      <c r="R648" s="1822"/>
      <c r="S648" s="1822" t="s">
        <v>330</v>
      </c>
      <c r="T648" s="1822"/>
      <c r="U648" s="1823"/>
      <c r="V648" s="1730" t="s">
        <v>326</v>
      </c>
      <c r="W648" s="1730"/>
      <c r="X648" s="1730"/>
      <c r="Y648" s="1730"/>
      <c r="Z648" s="1730"/>
      <c r="AA648" s="1731"/>
      <c r="AB648" s="12"/>
      <c r="AC648" s="12"/>
      <c r="AD648" s="12"/>
      <c r="AE648" s="12"/>
      <c r="AF648" s="12"/>
      <c r="AH648" s="487"/>
      <c r="AI648" s="558"/>
      <c r="AK648" s="593"/>
      <c r="AL648" s="593" t="s">
        <v>179</v>
      </c>
      <c r="AM648" s="387"/>
      <c r="AN648" s="387"/>
      <c r="AO648" s="387"/>
      <c r="AP648" s="387"/>
      <c r="AQ648" s="384"/>
      <c r="AR648" s="384"/>
    </row>
    <row r="649" spans="1:47" ht="14.25" customHeight="1" x14ac:dyDescent="0.2">
      <c r="A649" s="562">
        <f>IF(COUNTA(V650:V651)*(A650*A651)&lt;8,0,IF(COUNTA(V653:V654)*(A653*A654)&lt;8,0,IF(COUNTA(V659:V660)*(A659*A660)&lt;8,0,IF(COUNTA(V662)*A662&lt;2,0,1))))*(IF(COUNTA(V656:V657)&gt;0,IF(COUNTA(V656:V657)*(A656*A657)&lt;8,0,1),1))</f>
        <v>0</v>
      </c>
      <c r="B649" s="356" t="str">
        <f>IF(Z645="X","g", IF(AD645="X", "mL",""))</f>
        <v/>
      </c>
      <c r="C649" s="1087"/>
      <c r="D649" s="1088"/>
      <c r="E649" s="1088"/>
      <c r="F649" s="1088"/>
      <c r="G649" s="1088"/>
      <c r="H649" s="1088"/>
      <c r="I649" s="1088"/>
      <c r="J649" s="1088"/>
      <c r="K649" s="1088"/>
      <c r="L649" s="1088"/>
      <c r="M649" s="1816" t="s">
        <v>102</v>
      </c>
      <c r="N649" s="1816"/>
      <c r="O649" s="1816"/>
      <c r="P649" s="1816"/>
      <c r="Q649" s="1816"/>
      <c r="R649" s="1816"/>
      <c r="S649" s="1816"/>
      <c r="T649" s="1816"/>
      <c r="U649" s="1824"/>
      <c r="V649" s="1071" t="s">
        <v>327</v>
      </c>
      <c r="W649" s="1071"/>
      <c r="X649" s="1071"/>
      <c r="Y649" s="1071"/>
      <c r="Z649" s="1814" t="str">
        <f>B649</f>
        <v/>
      </c>
      <c r="AA649" s="1815"/>
      <c r="AB649" s="12"/>
      <c r="AC649" s="12"/>
      <c r="AD649" s="12"/>
      <c r="AE649" s="12"/>
      <c r="AF649" s="12"/>
      <c r="AH649" s="487"/>
      <c r="AI649" s="558"/>
      <c r="AJ649" s="557"/>
      <c r="AK649" s="604"/>
      <c r="AL649" s="605"/>
      <c r="AM649" s="382"/>
      <c r="AN649" s="382"/>
      <c r="AO649" s="382"/>
      <c r="AP649" s="382"/>
      <c r="AQ649" s="382"/>
      <c r="AR649" s="382"/>
      <c r="AS649" s="382"/>
      <c r="AT649" s="382"/>
      <c r="AU649" s="382"/>
    </row>
    <row r="650" spans="1:47" ht="15" customHeight="1" x14ac:dyDescent="0.2">
      <c r="A650" s="554">
        <f>IF(COUNTA(V650)=1, IF(TYPE(V650)=2, IF(LEFT(V650,9)="less than", 3, IF(LEFT(V650,11)="unavailable",2,1)),3),2)</f>
        <v>2</v>
      </c>
      <c r="B650" s="357" t="s">
        <v>328</v>
      </c>
      <c r="C650" s="1835" t="s">
        <v>47</v>
      </c>
      <c r="D650" s="1836"/>
      <c r="E650" s="1836"/>
      <c r="F650" s="1836"/>
      <c r="G650" s="1836"/>
      <c r="H650" s="1836"/>
      <c r="I650" s="1836"/>
      <c r="J650" s="1836"/>
      <c r="K650" s="1836"/>
      <c r="L650" s="1837"/>
      <c r="M650" s="1825" t="str">
        <f>IF(A650=3, IF(LEFT(V650,9)="less than", IF(AP650&lt;40, "less than 40",("less than "&amp;TEXT((AP650),"0.0"))),(AP650)),IF(A650=1,"Wrong Text",""))</f>
        <v/>
      </c>
      <c r="N650" s="1826"/>
      <c r="O650" s="1826"/>
      <c r="P650" s="1826"/>
      <c r="Q650" s="1826"/>
      <c r="R650" s="328" t="str">
        <f t="shared" ref="R650:R663" si="5">IF(A650=3, B650,"")</f>
        <v/>
      </c>
      <c r="S650" s="847" t="str">
        <f>IF(A650=3, IF(LEFT(V650,9)="less than", IF(AN650="~0%", AN650,"&lt; "&amp;AN650), AN650),"")</f>
        <v/>
      </c>
      <c r="T650" s="847"/>
      <c r="U650" s="848"/>
      <c r="V650" s="1459"/>
      <c r="W650" s="1075"/>
      <c r="X650" s="1075"/>
      <c r="Y650" s="1075"/>
      <c r="Z650" s="1075"/>
      <c r="AA650" s="148" t="str">
        <f t="shared" ref="AA650:AA663" si="6">IF(A650=3, B650,"")</f>
        <v/>
      </c>
      <c r="AB650" s="1732" t="str">
        <f>IF(B638=5, IF(F638="Yes",A639, B639),B639)</f>
        <v>Nutrient information is relevant to product      AS SUPPLIED</v>
      </c>
      <c r="AC650" s="1732"/>
      <c r="AD650" s="1732"/>
      <c r="AE650" s="1732"/>
      <c r="AF650" s="1732"/>
      <c r="AG650" s="1732"/>
      <c r="AH650" s="487"/>
      <c r="AI650" s="558"/>
      <c r="AJ650" s="557">
        <f>IF(A649=1,1,0)</f>
        <v>0</v>
      </c>
      <c r="AK650" s="583">
        <f>IF(AF125="X", IF(AJ650=0,1,2),0)</f>
        <v>0</v>
      </c>
      <c r="AL650" s="606">
        <f>IF(LEFT(V650,9)="less than", 0, IF(V650="unavailable",0,IF(V650 = "not detected", 0,V650)))</f>
        <v>0</v>
      </c>
      <c r="AM650" s="391">
        <f>IF(LEFT(V650,9)="less than",(V643*RIGHT(V650,(LEN(V650)-10))/100/AZ921),(V643*(V650/100))/AZ921)</f>
        <v>0</v>
      </c>
      <c r="AN650" s="392" t="str">
        <f>IF(AM650*100=0,TEXT(AM650,"0%"), IF(AM650*100&lt;1,IF(AM650*100&gt;=0.1, TEXT(AM650,"0.0%"),"~0%"), TEXT(AM650,"0%")))</f>
        <v>0%</v>
      </c>
      <c r="AO650" s="392">
        <f>IF(LEFT(V650,9)="less than",(V643*RIGHT(V650,(LEN(V650)-10))/100),(V643*(V650/100)))</f>
        <v>0</v>
      </c>
      <c r="AP650" s="393">
        <f t="shared" ref="AP650:AP663" si="7">IF(AO650&gt;0,(ROUND(ROUND(10^(LOG10(AO650*1000)-INT(LOG10(AO650*1000))),2)*10^INT(LOG10(AO650*1000)),0)/1000),0)</f>
        <v>0</v>
      </c>
      <c r="AQ650" s="382"/>
      <c r="AR650" s="382"/>
      <c r="AS650" s="382"/>
      <c r="AT650" s="382"/>
      <c r="AU650" s="382"/>
    </row>
    <row r="651" spans="1:47" ht="15" customHeight="1" x14ac:dyDescent="0.2">
      <c r="A651" s="554">
        <f>IF(COUNTA(V651)=1, IF(TYPE(V651)=2, IF(LEFT(V651,9)="less than", 3, IF(LEFT(V651,11)="unavailable",2,1)),3),2)</f>
        <v>2</v>
      </c>
      <c r="B651" s="357" t="s">
        <v>43</v>
      </c>
      <c r="C651" s="364" t="s">
        <v>575</v>
      </c>
      <c r="D651" s="365"/>
      <c r="E651" s="365"/>
      <c r="F651" s="365"/>
      <c r="G651" s="365"/>
      <c r="H651" s="365"/>
      <c r="I651" s="365"/>
      <c r="J651" s="365"/>
      <c r="K651" s="365"/>
      <c r="L651" s="366"/>
      <c r="M651" s="785" t="str">
        <f>IF(A651=3, IF(LEFT(V651,9)="less than", IF(AP651&lt;1, "less than 1",("less than "&amp;TEXT((AP651),"0.0"))),(AP651)),IF(A651=1,"Wrong Text",IF(A651=2,IF(LEFT(V651,11)&gt;"n",V651,""))))</f>
        <v/>
      </c>
      <c r="N651" s="786"/>
      <c r="O651" s="786"/>
      <c r="P651" s="786"/>
      <c r="Q651" s="786"/>
      <c r="R651" s="329" t="str">
        <f t="shared" si="5"/>
        <v/>
      </c>
      <c r="S651" s="1069" t="str">
        <f>IF(A651=3, IF(LEFT(V651,9)="less than", IF(AN651="~0%", AN651,"&lt; "&amp;AN651), AN651),"")</f>
        <v/>
      </c>
      <c r="T651" s="1069"/>
      <c r="U651" s="1070"/>
      <c r="V651" s="1459"/>
      <c r="W651" s="1075"/>
      <c r="X651" s="1075"/>
      <c r="Y651" s="1075"/>
      <c r="Z651" s="1075"/>
      <c r="AA651" s="148" t="str">
        <f t="shared" si="6"/>
        <v/>
      </c>
      <c r="AB651" s="1732"/>
      <c r="AC651" s="1732"/>
      <c r="AD651" s="1732"/>
      <c r="AE651" s="1732"/>
      <c r="AF651" s="1732"/>
      <c r="AG651" s="1732"/>
      <c r="AH651" s="487"/>
      <c r="AI651" s="558"/>
      <c r="AJ651" s="557">
        <f>B648</f>
        <v>0</v>
      </c>
      <c r="AK651" s="584"/>
      <c r="AL651" s="606">
        <f t="shared" ref="AL651:AL662" si="8">IF(LEFT(V651,9)="less than", VALUE(RIGHT(V651,(LEN(V651)-10))), IF(V651="unavailable",0.0001,IF(V651 = "not detected", 0,V651)))</f>
        <v>0</v>
      </c>
      <c r="AM651" s="391">
        <f>IF(LEFT(V651,9)="less than",(V643*RIGHT(V651,(LEN(V651)-10))/100/AZ922),(V643*(V651/100))/AZ922)</f>
        <v>0</v>
      </c>
      <c r="AN651" s="392" t="str">
        <f>IF(AM651*100=0,TEXT(AM651,"0%"), IF(AM651*100&lt;1,IF(AM651*100&gt;=0.1, TEXT(AM651,"0.0%"),"~0%"), TEXT(AM651,"0%")))</f>
        <v>0%</v>
      </c>
      <c r="AO651" s="392">
        <f>IF(LEFT(V651,9)="less than",(V643*RIGHT(V651,(LEN(V651)-10))/100),(V643*(V651/100)))</f>
        <v>0</v>
      </c>
      <c r="AP651" s="393">
        <f t="shared" si="7"/>
        <v>0</v>
      </c>
      <c r="AQ651" s="390"/>
      <c r="AR651" s="384"/>
    </row>
    <row r="652" spans="1:47" ht="15" customHeight="1" x14ac:dyDescent="0.2">
      <c r="A652" s="554">
        <f>IF(COUNTA(V652)=1, IF(TYPE(V652)=2, IF(LEFT(V652,9)="less than", 3,IF(LEFT(V652,11)="unavailable",2,IF(LEFT(V652,12)="not detected",2,1))),3),2)</f>
        <v>2</v>
      </c>
      <c r="B652" s="357" t="s">
        <v>329</v>
      </c>
      <c r="C652" s="218" t="s">
        <v>576</v>
      </c>
      <c r="D652" s="73"/>
      <c r="E652" s="73"/>
      <c r="F652" s="73"/>
      <c r="G652" s="73"/>
      <c r="H652" s="73"/>
      <c r="I652" s="73"/>
      <c r="J652" s="73"/>
      <c r="K652" s="73"/>
      <c r="L652" s="304"/>
      <c r="M652" s="1460" t="str">
        <f>IF(A652=3,IF(LEFT(V652,9)="less than",IF(AP652&lt;1,"less than 1",("less than "&amp;TEXT((AP652),"0.0"))),(AP652)),IF(A652=1,"Wrong Text",IF(A652=2,IF(LEFT(V652,11)&gt;"n",V652,""))))</f>
        <v/>
      </c>
      <c r="N652" s="1461"/>
      <c r="O652" s="1461"/>
      <c r="P652" s="1461"/>
      <c r="Q652" s="1461"/>
      <c r="R652" s="328" t="str">
        <f t="shared" si="5"/>
        <v/>
      </c>
      <c r="S652" s="934"/>
      <c r="T652" s="934"/>
      <c r="U652" s="935"/>
      <c r="V652" s="1075"/>
      <c r="W652" s="1075"/>
      <c r="X652" s="1075"/>
      <c r="Y652" s="1075"/>
      <c r="Z652" s="1075"/>
      <c r="AA652" s="148" t="str">
        <f t="shared" si="6"/>
        <v/>
      </c>
      <c r="AB652" s="1732"/>
      <c r="AC652" s="1732"/>
      <c r="AD652" s="1732"/>
      <c r="AE652" s="1732"/>
      <c r="AF652" s="1732"/>
      <c r="AG652" s="1732"/>
      <c r="AH652" s="487"/>
      <c r="AI652" s="558"/>
      <c r="AJ652" s="557"/>
      <c r="AK652" s="584"/>
      <c r="AL652" s="606">
        <f t="shared" si="8"/>
        <v>0</v>
      </c>
      <c r="AM652" s="394"/>
      <c r="AN652" s="394"/>
      <c r="AO652" s="392">
        <f>IF(LEFT(V652,9)="less than",(V643*RIGHT(V652,(LEN(V652)-10))/100),(V643*(V652/100)))</f>
        <v>0</v>
      </c>
      <c r="AP652" s="393">
        <f t="shared" si="7"/>
        <v>0</v>
      </c>
      <c r="AQ652" s="390"/>
      <c r="AR652" s="384"/>
    </row>
    <row r="653" spans="1:47" ht="15" customHeight="1" x14ac:dyDescent="0.2">
      <c r="A653" s="554">
        <f>IF(COUNTA(V653)=1, IF(TYPE(V653)=2, IF(LEFT(V653,9)="less than", 3, IF(LEFT(V653,11)="unavailable",2,1)),3),2)</f>
        <v>2</v>
      </c>
      <c r="B653" s="357" t="s">
        <v>43</v>
      </c>
      <c r="C653" s="1833" t="s">
        <v>49</v>
      </c>
      <c r="D653" s="1834"/>
      <c r="E653" s="1834"/>
      <c r="F653" s="1834"/>
      <c r="G653" s="1834"/>
      <c r="H653" s="1834"/>
      <c r="I653" s="1834"/>
      <c r="J653" s="1834"/>
      <c r="K653" s="1834"/>
      <c r="L653" s="1834"/>
      <c r="M653" s="785" t="str">
        <f t="shared" ref="M653:M660" si="9">IF(A653=3, IF(LEFT(V653,9)="less than", IF(AP653&lt;1, "less than 1",("less than "&amp;TEXT((AP653),"0.0"))),(AP653)),IF(A653=1,"Wrong Text",IF(A653=2,IF(LEFT(V653,11)&gt;"n",V653,""))))</f>
        <v/>
      </c>
      <c r="N653" s="786"/>
      <c r="O653" s="786"/>
      <c r="P653" s="786"/>
      <c r="Q653" s="786"/>
      <c r="R653" s="330" t="str">
        <f t="shared" si="5"/>
        <v/>
      </c>
      <c r="S653" s="1069" t="str">
        <f>IF(A653=3, IF(LEFT(V653,9)="less than", IF(AN653="~0%", AN653,"&lt; "&amp;AN653), AN653),"")</f>
        <v/>
      </c>
      <c r="T653" s="1069"/>
      <c r="U653" s="1070"/>
      <c r="V653" s="639"/>
      <c r="W653" s="640"/>
      <c r="X653" s="640"/>
      <c r="Y653" s="640"/>
      <c r="Z653" s="640"/>
      <c r="AA653" s="148" t="str">
        <f t="shared" si="6"/>
        <v/>
      </c>
      <c r="AB653" s="1732"/>
      <c r="AC653" s="1732"/>
      <c r="AD653" s="1732"/>
      <c r="AE653" s="1732"/>
      <c r="AF653" s="1732"/>
      <c r="AG653" s="1732"/>
      <c r="AH653" s="487"/>
      <c r="AI653" s="607"/>
      <c r="AJ653" s="557"/>
      <c r="AK653" s="608">
        <f>IF(AQ655&lt;3,ABS(AL653-(AL654+AL655+AL656+AL657)),0)</f>
        <v>0</v>
      </c>
      <c r="AL653" s="606">
        <f t="shared" si="8"/>
        <v>0</v>
      </c>
      <c r="AM653" s="391">
        <f>IF(LEFT(V653,9)="less than",(V643*RIGHT(V653,(LEN(V653)-10))/100/AZ923),(V643*(V653/100))/AZ923)</f>
        <v>0</v>
      </c>
      <c r="AN653" s="392" t="str">
        <f>IF(AM653*100=0,TEXT(AM653,"0%"), IF(AM653*100&lt;1,IF(AM653*100&gt;=0.1, TEXT(AM653,"0.0%"),"~0%"), TEXT(AM653,"0%")))</f>
        <v>0%</v>
      </c>
      <c r="AO653" s="392">
        <f>IF(LEFT(V653,9)="less than",(V643*RIGHT(V653,(LEN(V653)-10))/100),(V643*(V653/100)))</f>
        <v>0</v>
      </c>
      <c r="AP653" s="393">
        <f t="shared" si="7"/>
        <v>0</v>
      </c>
      <c r="AQ653" s="390"/>
      <c r="AR653" s="384"/>
    </row>
    <row r="654" spans="1:47" ht="15" customHeight="1" x14ac:dyDescent="0.2">
      <c r="A654" s="554">
        <f t="shared" ref="A654:A663" si="10">IF(COUNTA(V654)=1, IF(TYPE(V654)=2, IF(LEFT(V654,9)="less than", 3,IF(LEFT(V654,11)="unavailable",2,1)),3),2)</f>
        <v>2</v>
      </c>
      <c r="B654" s="357" t="s">
        <v>43</v>
      </c>
      <c r="C654" s="367"/>
      <c r="D654" s="368" t="s">
        <v>331</v>
      </c>
      <c r="E654" s="368"/>
      <c r="F654" s="368"/>
      <c r="G654" s="368"/>
      <c r="H654" s="368"/>
      <c r="I654" s="368"/>
      <c r="J654" s="368"/>
      <c r="K654" s="368"/>
      <c r="L654" s="368"/>
      <c r="M654" s="785" t="str">
        <f t="shared" si="9"/>
        <v/>
      </c>
      <c r="N654" s="786"/>
      <c r="O654" s="786"/>
      <c r="P654" s="786"/>
      <c r="Q654" s="786"/>
      <c r="R654" s="329" t="str">
        <f t="shared" si="5"/>
        <v/>
      </c>
      <c r="S654" s="1069" t="str">
        <f>IF(A654=3, IF(LEFT(V654,9)="less than", IF(AN654="~0%", AN654,"&lt; "&amp;AN654), AN654),"")</f>
        <v/>
      </c>
      <c r="T654" s="1069"/>
      <c r="U654" s="1070"/>
      <c r="V654" s="639"/>
      <c r="W654" s="640"/>
      <c r="X654" s="640"/>
      <c r="Y654" s="640"/>
      <c r="Z654" s="640"/>
      <c r="AA654" s="148" t="str">
        <f t="shared" si="6"/>
        <v/>
      </c>
      <c r="AB654" s="27"/>
      <c r="AC654" s="27"/>
      <c r="AD654" s="27"/>
      <c r="AE654" s="27"/>
      <c r="AF654" s="27"/>
      <c r="AG654" s="27"/>
      <c r="AH654" s="487"/>
      <c r="AI654" s="607"/>
      <c r="AJ654" s="557"/>
      <c r="AK654" s="609">
        <f>IF(LEFT(V654,9)="less than",(RIGHT(V654,(LEN(V654)-10))), 0)</f>
        <v>0</v>
      </c>
      <c r="AL654" s="606">
        <f t="shared" si="8"/>
        <v>0</v>
      </c>
      <c r="AM654" s="391">
        <f>IF(LEFT(V654,9)="less than",(V643*RIGHT(V654,(LEN(V654)-10))/100/AZ924),(V643*(V654/100))/AZ924)</f>
        <v>0</v>
      </c>
      <c r="AN654" s="392" t="str">
        <f>IF(AM654*100=0,TEXT(AM654,"0%"), IF(AM654*100&lt;1,IF(AM654*100&gt;=0.1, TEXT(AM654,"0.0%"),"~0%"), TEXT(AM654,"0%")))</f>
        <v>0%</v>
      </c>
      <c r="AO654" s="392">
        <f>IF(LEFT(V654,9)="less than",(V643*RIGHT(V654,(LEN(V654)-10))/100),(V643*(V654/100)))</f>
        <v>0</v>
      </c>
      <c r="AP654" s="393">
        <f t="shared" si="7"/>
        <v>0</v>
      </c>
      <c r="AQ654" s="407">
        <f>COUNTBLANK(V653:V654)+COUNTBLANK(V656:V657)</f>
        <v>4</v>
      </c>
      <c r="AR654" s="384"/>
    </row>
    <row r="655" spans="1:47" ht="15" customHeight="1" x14ac:dyDescent="0.2">
      <c r="A655" s="554">
        <f t="shared" si="10"/>
        <v>2</v>
      </c>
      <c r="B655" s="357" t="s">
        <v>43</v>
      </c>
      <c r="C655" s="203"/>
      <c r="D655" s="264" t="s">
        <v>332</v>
      </c>
      <c r="E655" s="217"/>
      <c r="F655" s="217"/>
      <c r="G655" s="217"/>
      <c r="H655" s="217"/>
      <c r="I655" s="217"/>
      <c r="J655" s="217"/>
      <c r="K655" s="217"/>
      <c r="L655" s="217"/>
      <c r="M655" s="785" t="str">
        <f t="shared" si="9"/>
        <v/>
      </c>
      <c r="N655" s="786"/>
      <c r="O655" s="786"/>
      <c r="P655" s="786"/>
      <c r="Q655" s="786"/>
      <c r="R655" s="331" t="str">
        <f t="shared" si="5"/>
        <v/>
      </c>
      <c r="S655" s="880"/>
      <c r="T655" s="880"/>
      <c r="U655" s="1827"/>
      <c r="V655" s="639"/>
      <c r="W655" s="640"/>
      <c r="X655" s="640"/>
      <c r="Y655" s="640"/>
      <c r="Z655" s="640"/>
      <c r="AA655" s="148" t="str">
        <f t="shared" si="6"/>
        <v/>
      </c>
      <c r="AB655" s="1079" t="str">
        <f>IF(AQ654&lt;2, IF(AK659=0,IF(AK653&gt;0.02, "Please confirm fat subgroup levels are correct",A635),IF(AK659&gt;1,"Please confirm fat subgroup levels are correct",A635)),A635)</f>
        <v>DO NOT leave bolded NIP fields blank.  Use numbers, or text "less than" with value; or "unavailable" or "not detected" for gluten.</v>
      </c>
      <c r="AC655" s="1079"/>
      <c r="AD655" s="1079"/>
      <c r="AE655" s="1079"/>
      <c r="AF655" s="1079"/>
      <c r="AG655" s="1079"/>
      <c r="AH655" s="487"/>
      <c r="AI655" s="607"/>
      <c r="AJ655" s="557"/>
      <c r="AK655" s="609">
        <f>IF(LEFT(V655,9)="less than",(RIGHT(V655,(LEN(V655)-10))), 0)</f>
        <v>0</v>
      </c>
      <c r="AL655" s="606">
        <f t="shared" si="8"/>
        <v>0</v>
      </c>
      <c r="AM655" s="396"/>
      <c r="AN655" s="396"/>
      <c r="AO655" s="392">
        <f>IF(LEFT(V655,9)="less than",(V643*RIGHT(V655,(LEN(V655)-10))/100),(V643*(V655/100)))</f>
        <v>0</v>
      </c>
      <c r="AP655" s="393">
        <f t="shared" si="7"/>
        <v>0</v>
      </c>
      <c r="AQ655" s="407">
        <f>COUNTIF(V653:V654,"unavailable")+COUNTIF(V656:V657,"unavailable")</f>
        <v>0</v>
      </c>
      <c r="AR655" s="384"/>
    </row>
    <row r="656" spans="1:47" ht="15" customHeight="1" x14ac:dyDescent="0.2">
      <c r="A656" s="554">
        <f>IF(COUNTA(V656)=1, IF(TYPE(V656)=2, IF(LEFT(V656,9)="less than", 3,IF(LEFT(V656,11)="unavailable",2,1)),3),2)</f>
        <v>2</v>
      </c>
      <c r="B656" s="357" t="s">
        <v>43</v>
      </c>
      <c r="C656" s="203"/>
      <c r="D656" s="264" t="s">
        <v>333</v>
      </c>
      <c r="E656" s="217"/>
      <c r="F656" s="217"/>
      <c r="G656" s="217"/>
      <c r="H656" s="217"/>
      <c r="I656" s="217"/>
      <c r="J656" s="217"/>
      <c r="K656" s="217"/>
      <c r="L656" s="217"/>
      <c r="M656" s="785" t="str">
        <f t="shared" si="9"/>
        <v/>
      </c>
      <c r="N656" s="786"/>
      <c r="O656" s="786"/>
      <c r="P656" s="786"/>
      <c r="Q656" s="786"/>
      <c r="R656" s="331" t="str">
        <f t="shared" si="5"/>
        <v/>
      </c>
      <c r="S656" s="852"/>
      <c r="T656" s="852"/>
      <c r="U656" s="853"/>
      <c r="V656" s="640"/>
      <c r="W656" s="640"/>
      <c r="X656" s="640"/>
      <c r="Y656" s="640"/>
      <c r="Z656" s="640"/>
      <c r="AA656" s="148" t="str">
        <f t="shared" si="6"/>
        <v/>
      </c>
      <c r="AB656" s="1079"/>
      <c r="AC656" s="1079"/>
      <c r="AD656" s="1079"/>
      <c r="AE656" s="1079"/>
      <c r="AF656" s="1079"/>
      <c r="AG656" s="1079"/>
      <c r="AH656" s="487"/>
      <c r="AI656" s="607"/>
      <c r="AJ656" s="557"/>
      <c r="AK656" s="609">
        <f>IF(LEFT(V656,9)="less than",(RIGHT(V656,(LEN(V656)-10))), 0)</f>
        <v>0</v>
      </c>
      <c r="AL656" s="606">
        <f t="shared" si="8"/>
        <v>0</v>
      </c>
      <c r="AM656" s="396"/>
      <c r="AN656" s="396"/>
      <c r="AO656" s="392">
        <f>IF(LEFT(V656,9)="less than",(V643*RIGHT(V656,(LEN(V656)-10))/100),(V643*(V656/100)))</f>
        <v>0</v>
      </c>
      <c r="AP656" s="393">
        <f>IF(AO656&gt;0,(ROUND(ROUND(10^(LOG10(AO656*1000)-INT(LOG10(AO656*1000))),2)*10^INT(LOG10(AO656*1000)),0)/1000),0)</f>
        <v>0</v>
      </c>
      <c r="AQ656" s="383">
        <f>AQ654-AQ655</f>
        <v>4</v>
      </c>
      <c r="AR656" s="384"/>
    </row>
    <row r="657" spans="1:64" ht="15" customHeight="1" x14ac:dyDescent="0.2">
      <c r="A657" s="554">
        <f t="shared" si="10"/>
        <v>2</v>
      </c>
      <c r="B657" s="357" t="s">
        <v>43</v>
      </c>
      <c r="C657" s="203"/>
      <c r="D657" s="264" t="s">
        <v>334</v>
      </c>
      <c r="E657" s="217"/>
      <c r="F657" s="217"/>
      <c r="G657" s="217"/>
      <c r="H657" s="217"/>
      <c r="I657" s="217"/>
      <c r="J657" s="217"/>
      <c r="K657" s="217"/>
      <c r="L657" s="217"/>
      <c r="M657" s="785" t="str">
        <f t="shared" si="9"/>
        <v/>
      </c>
      <c r="N657" s="786"/>
      <c r="O657" s="786"/>
      <c r="P657" s="786"/>
      <c r="Q657" s="786"/>
      <c r="R657" s="331" t="str">
        <f t="shared" si="5"/>
        <v/>
      </c>
      <c r="S657" s="852"/>
      <c r="T657" s="852"/>
      <c r="U657" s="853"/>
      <c r="V657" s="640"/>
      <c r="W657" s="640"/>
      <c r="X657" s="640"/>
      <c r="Y657" s="640"/>
      <c r="Z657" s="640"/>
      <c r="AA657" s="148" t="str">
        <f t="shared" si="6"/>
        <v/>
      </c>
      <c r="AB657" s="1079"/>
      <c r="AC657" s="1079"/>
      <c r="AD657" s="1079"/>
      <c r="AE657" s="1079"/>
      <c r="AF657" s="1079"/>
      <c r="AG657" s="1079"/>
      <c r="AH657" s="487"/>
      <c r="AI657" s="607"/>
      <c r="AJ657" s="557"/>
      <c r="AK657" s="609">
        <f>IF(LEFT(V657,9)="less than",(RIGHT(V657,(LEN(V657)-10))), 0)</f>
        <v>0</v>
      </c>
      <c r="AL657" s="606">
        <f t="shared" si="8"/>
        <v>0</v>
      </c>
      <c r="AM657" s="396"/>
      <c r="AN657" s="396"/>
      <c r="AO657" s="392">
        <f>IF(LEFT(V657,9)="less than",(V643*RIGHT(V657,(LEN(V657)-10))/100),(V643*(V657/100)))</f>
        <v>0</v>
      </c>
      <c r="AP657" s="393">
        <f t="shared" si="7"/>
        <v>0</v>
      </c>
      <c r="AQ657" s="395"/>
      <c r="AR657" s="384"/>
    </row>
    <row r="658" spans="1:64" ht="15" customHeight="1" x14ac:dyDescent="0.2">
      <c r="A658" s="554">
        <f t="shared" si="10"/>
        <v>2</v>
      </c>
      <c r="B658" s="357" t="s">
        <v>329</v>
      </c>
      <c r="C658" s="306" t="s">
        <v>50</v>
      </c>
      <c r="D658" s="126"/>
      <c r="E658" s="126"/>
      <c r="F658" s="126"/>
      <c r="G658" s="126"/>
      <c r="H658" s="126"/>
      <c r="I658" s="126"/>
      <c r="J658" s="126"/>
      <c r="K658" s="126"/>
      <c r="L658" s="126"/>
      <c r="M658" s="783" t="str">
        <f t="shared" si="9"/>
        <v/>
      </c>
      <c r="N658" s="784"/>
      <c r="O658" s="784"/>
      <c r="P658" s="784"/>
      <c r="Q658" s="784"/>
      <c r="R658" s="330" t="str">
        <f t="shared" si="5"/>
        <v/>
      </c>
      <c r="S658" s="880"/>
      <c r="T658" s="880"/>
      <c r="U658" s="881"/>
      <c r="V658" s="640"/>
      <c r="W658" s="640"/>
      <c r="X658" s="640"/>
      <c r="Y658" s="640"/>
      <c r="Z658" s="640"/>
      <c r="AA658" s="148" t="str">
        <f t="shared" si="6"/>
        <v/>
      </c>
      <c r="AB658" s="1079"/>
      <c r="AC658" s="1079"/>
      <c r="AD658" s="1079"/>
      <c r="AE658" s="1079"/>
      <c r="AF658" s="1079"/>
      <c r="AG658" s="1079"/>
      <c r="AH658" s="487"/>
      <c r="AI658" s="607"/>
      <c r="AJ658" s="557"/>
      <c r="AK658" s="608">
        <f>ABS(AK654+AK655+AK657+AK656)</f>
        <v>0</v>
      </c>
      <c r="AL658" s="606">
        <f t="shared" si="8"/>
        <v>0</v>
      </c>
      <c r="AM658" s="394"/>
      <c r="AN658" s="394"/>
      <c r="AO658" s="392">
        <f>IF(LEFT(V658,9)="less than",(V643*RIGHT(V658,(LEN(V658)-10))/100),(V643*(V658/100)))</f>
        <v>0</v>
      </c>
      <c r="AP658" s="393">
        <f t="shared" si="7"/>
        <v>0</v>
      </c>
      <c r="AQ658" s="390"/>
      <c r="AR658" s="384"/>
    </row>
    <row r="659" spans="1:64" ht="15" customHeight="1" x14ac:dyDescent="0.2">
      <c r="A659" s="554">
        <f t="shared" si="10"/>
        <v>2</v>
      </c>
      <c r="B659" s="358" t="s">
        <v>43</v>
      </c>
      <c r="C659" s="1831" t="s">
        <v>52</v>
      </c>
      <c r="D659" s="1832"/>
      <c r="E659" s="1832"/>
      <c r="F659" s="1832"/>
      <c r="G659" s="1832"/>
      <c r="H659" s="1832"/>
      <c r="I659" s="1832"/>
      <c r="J659" s="1832"/>
      <c r="K659" s="1832"/>
      <c r="L659" s="1832"/>
      <c r="M659" s="785" t="str">
        <f t="shared" si="9"/>
        <v/>
      </c>
      <c r="N659" s="786"/>
      <c r="O659" s="786"/>
      <c r="P659" s="786"/>
      <c r="Q659" s="786"/>
      <c r="R659" s="330" t="str">
        <f t="shared" si="5"/>
        <v/>
      </c>
      <c r="S659" s="847" t="str">
        <f>IF(A659=3, IF(LEFT(V659,9)="less than", IF(AN659="~0%", AN659,"&lt; "&amp;AN659), AN659),"")</f>
        <v/>
      </c>
      <c r="T659" s="847"/>
      <c r="U659" s="848"/>
      <c r="V659" s="639"/>
      <c r="W659" s="640"/>
      <c r="X659" s="640"/>
      <c r="Y659" s="640"/>
      <c r="Z659" s="640"/>
      <c r="AA659" s="148" t="str">
        <f t="shared" si="6"/>
        <v/>
      </c>
      <c r="AB659" s="1079"/>
      <c r="AC659" s="1079"/>
      <c r="AD659" s="1079"/>
      <c r="AE659" s="1079"/>
      <c r="AF659" s="1079"/>
      <c r="AG659" s="1079"/>
      <c r="AH659" s="487"/>
      <c r="AI659" s="607"/>
      <c r="AJ659" s="557"/>
      <c r="AK659" s="608">
        <f>IF(AK658&gt;0, AK653/AK658, 0)</f>
        <v>0</v>
      </c>
      <c r="AL659" s="606">
        <f t="shared" si="8"/>
        <v>0</v>
      </c>
      <c r="AM659" s="391">
        <f>IF(LEFT(V659,9)="less than",(V643*RIGHT(V659,(LEN(V659)-10))/100/AZ929),(V643*(V659/100))/AZ929)</f>
        <v>0</v>
      </c>
      <c r="AN659" s="392" t="str">
        <f>IF(AM659*100=0,TEXT(AM659,"0%"), IF(AM659*100&lt;1,IF(AM659*100&gt;=0.1, TEXT(AM659,"0.0%"),"~0%"), TEXT(AM659,"0%")))</f>
        <v>0%</v>
      </c>
      <c r="AO659" s="392">
        <f>IF(LEFT(V659,9)="less than",(V643*RIGHT(V659,(LEN(V659)-10))/100),(V643*(V659/100)))</f>
        <v>0</v>
      </c>
      <c r="AP659" s="393">
        <f>IF(AO659&gt;0, (ROUND(ROUND(10^(LOG10(AO659*1000)-INT(LOG10(AO659*1000))),2)*10^INT(LOG10(AO659*1000)),0)/1000),0)</f>
        <v>0</v>
      </c>
      <c r="AQ659" s="390"/>
      <c r="AR659" s="384"/>
    </row>
    <row r="660" spans="1:64" ht="15" customHeight="1" x14ac:dyDescent="0.2">
      <c r="A660" s="554">
        <f t="shared" si="10"/>
        <v>2</v>
      </c>
      <c r="B660" s="357" t="s">
        <v>43</v>
      </c>
      <c r="C660" s="411"/>
      <c r="D660" s="369" t="s">
        <v>18</v>
      </c>
      <c r="E660" s="369"/>
      <c r="F660" s="369"/>
      <c r="G660" s="369"/>
      <c r="H660" s="369"/>
      <c r="I660" s="369"/>
      <c r="J660" s="369"/>
      <c r="K660" s="369"/>
      <c r="L660" s="369"/>
      <c r="M660" s="1092" t="str">
        <f t="shared" si="9"/>
        <v/>
      </c>
      <c r="N660" s="1093"/>
      <c r="O660" s="1093"/>
      <c r="P660" s="1093"/>
      <c r="Q660" s="1093"/>
      <c r="R660" s="331" t="str">
        <f t="shared" si="5"/>
        <v/>
      </c>
      <c r="S660" s="828" t="str">
        <f>IF(A660=3, IF(LEFT(V660,9)="less than", IF(AN660="~0%", AN660,"&lt; "&amp;AN660), AN660),"")</f>
        <v/>
      </c>
      <c r="T660" s="828"/>
      <c r="U660" s="829"/>
      <c r="V660" s="639"/>
      <c r="W660" s="640"/>
      <c r="X660" s="640"/>
      <c r="Y660" s="640"/>
      <c r="Z660" s="640"/>
      <c r="AA660" s="148" t="str">
        <f t="shared" si="6"/>
        <v/>
      </c>
      <c r="AB660" s="262"/>
      <c r="AC660" s="262"/>
      <c r="AD660" s="262"/>
      <c r="AE660" s="262"/>
      <c r="AF660" s="262"/>
      <c r="AG660" s="262"/>
      <c r="AH660" s="487"/>
      <c r="AI660" s="607"/>
      <c r="AJ660" s="557"/>
      <c r="AK660" s="584"/>
      <c r="AL660" s="606">
        <f t="shared" si="8"/>
        <v>0</v>
      </c>
      <c r="AM660" s="391">
        <f>IF(LEFT(V660,9)="less than",(V643*RIGHT(V660,(LEN(V660)-10))/100/AZ930),(V643*(V660/100))/AZ930)</f>
        <v>0</v>
      </c>
      <c r="AN660" s="392" t="str">
        <f>IF(AM660*100=0,TEXT(AM660,"0%"), IF(AM660*100&lt;1,IF(AM660*100&gt;=0.1, TEXT(AM660,"0.0%"),"~0%"), TEXT(AM660,"0%")))</f>
        <v>0%</v>
      </c>
      <c r="AO660" s="392">
        <f>IF(LEFT(V660,9)="less than",(V643*RIGHT(V660,(LEN(V660)-10))/100),(V643*(V660/100)))</f>
        <v>0</v>
      </c>
      <c r="AP660" s="393">
        <f t="shared" si="7"/>
        <v>0</v>
      </c>
      <c r="AQ660" s="390"/>
      <c r="AR660" s="384"/>
    </row>
    <row r="661" spans="1:64" ht="15" customHeight="1" x14ac:dyDescent="0.2">
      <c r="A661" s="554">
        <f t="shared" si="10"/>
        <v>2</v>
      </c>
      <c r="B661" s="357" t="s">
        <v>43</v>
      </c>
      <c r="C661" s="306" t="s">
        <v>53</v>
      </c>
      <c r="D661" s="126"/>
      <c r="E661" s="126"/>
      <c r="F661" s="126"/>
      <c r="G661" s="126"/>
      <c r="H661" s="126"/>
      <c r="I661" s="126"/>
      <c r="J661" s="126"/>
      <c r="K661" s="126"/>
      <c r="L661" s="126"/>
      <c r="M661" s="783" t="str">
        <f>IF(A661=3,IF(LEFT(V661,9)="less than",IF(AP661&lt;1,"less than 1",("less than "&amp;TEXT((AP661),"0.0"))),(AP661)),IF(A661=1,"Wrong Text",IF(A661=2,IF(LEFT(V661,11)&gt;"n",V661,""))))</f>
        <v/>
      </c>
      <c r="N661" s="784"/>
      <c r="O661" s="784"/>
      <c r="P661" s="784"/>
      <c r="Q661" s="784"/>
      <c r="R661" s="330" t="str">
        <f t="shared" si="5"/>
        <v/>
      </c>
      <c r="S661" s="1842" t="str">
        <f>IF(A661=3, IF(LEFT(V661,9)="less than", IF(AN661="~0%", AN661,"&lt; "&amp;AN661), AN661),"")</f>
        <v/>
      </c>
      <c r="T661" s="1842"/>
      <c r="U661" s="1843"/>
      <c r="V661" s="640"/>
      <c r="W661" s="640"/>
      <c r="X661" s="640"/>
      <c r="Y661" s="640"/>
      <c r="Z661" s="640"/>
      <c r="AA661" s="148" t="str">
        <f t="shared" si="6"/>
        <v/>
      </c>
      <c r="AB661" s="833" t="s">
        <v>388</v>
      </c>
      <c r="AC661" s="833"/>
      <c r="AD661" s="833"/>
      <c r="AE661" s="833"/>
      <c r="AF661" s="833"/>
      <c r="AG661" s="833"/>
      <c r="AH661" s="487"/>
      <c r="AI661" s="607"/>
      <c r="AJ661" s="557"/>
      <c r="AK661" s="584"/>
      <c r="AL661" s="606">
        <f t="shared" si="8"/>
        <v>0</v>
      </c>
      <c r="AM661" s="391">
        <f>IF(LEFT(V661,9)="less than",(V643*RIGHT(V661,(LEN(V661)-10))/100/AZ931),(V643*(V661/100))/AZ931)</f>
        <v>0</v>
      </c>
      <c r="AN661" s="392" t="str">
        <f>IF(AM661*100=0,TEXT(AM661,"0%"), IF(AM661*100&lt;1,IF(AM661*100&gt;=0.1, TEXT(AM661,"0.0%"),"~0%"), TEXT(AM661,"0%")))</f>
        <v>0%</v>
      </c>
      <c r="AO661" s="392">
        <f>IF(LEFT(V661,9)="less than",(V643*RIGHT(V661,(LEN(V661)-10))/100),(V643*(V661/100)))</f>
        <v>0</v>
      </c>
      <c r="AP661" s="393">
        <f t="shared" si="7"/>
        <v>0</v>
      </c>
      <c r="AQ661" s="390"/>
      <c r="AR661" s="384"/>
    </row>
    <row r="662" spans="1:64" ht="15" customHeight="1" x14ac:dyDescent="0.2">
      <c r="A662" s="554">
        <f t="shared" si="10"/>
        <v>2</v>
      </c>
      <c r="B662" s="358" t="s">
        <v>329</v>
      </c>
      <c r="C662" s="1831" t="s">
        <v>54</v>
      </c>
      <c r="D662" s="1832"/>
      <c r="E662" s="1832"/>
      <c r="F662" s="1832"/>
      <c r="G662" s="1832"/>
      <c r="H662" s="1832"/>
      <c r="I662" s="1832"/>
      <c r="J662" s="1832"/>
      <c r="K662" s="1832"/>
      <c r="L662" s="1832"/>
      <c r="M662" s="785" t="str">
        <f>IF(A662=3, IF(LEFT(V662,9)="less than", IF(AP662&lt;1, "less than 1",("less than "&amp;TEXT((AP662),"0.0"))),(AP662)),IF(A662=1,"Wrong Text",IF(A662=2,IF(LEFT(V662,11)&gt;"n",V662,""))))</f>
        <v/>
      </c>
      <c r="N662" s="786"/>
      <c r="O662" s="786"/>
      <c r="P662" s="786"/>
      <c r="Q662" s="786"/>
      <c r="R662" s="330" t="str">
        <f t="shared" si="5"/>
        <v/>
      </c>
      <c r="S662" s="929" t="str">
        <f>IF(A662=3, IF(LEFT(V662,9)="less than", IF(AN662="~0%", AN662,"&lt; "&amp;AN662), AN662),"")</f>
        <v/>
      </c>
      <c r="T662" s="929"/>
      <c r="U662" s="930"/>
      <c r="V662" s="639"/>
      <c r="W662" s="640"/>
      <c r="X662" s="640"/>
      <c r="Y662" s="640"/>
      <c r="Z662" s="640"/>
      <c r="AA662" s="148" t="str">
        <f t="shared" si="6"/>
        <v/>
      </c>
      <c r="AB662" s="833"/>
      <c r="AC662" s="833"/>
      <c r="AD662" s="833"/>
      <c r="AE662" s="833"/>
      <c r="AF662" s="833"/>
      <c r="AG662" s="833"/>
      <c r="AH662" s="487"/>
      <c r="AI662" s="607"/>
      <c r="AJ662" s="557"/>
      <c r="AK662" s="584"/>
      <c r="AL662" s="606">
        <f t="shared" si="8"/>
        <v>0</v>
      </c>
      <c r="AM662" s="391">
        <f>IF(LEFT(V662,9)="less than",(V643*RIGHT(V662,(LEN(V662)-10))/100/AZ933),(V643*(V662/100))/AZ933)</f>
        <v>0</v>
      </c>
      <c r="AN662" s="392" t="str">
        <f>IF(AM662*100=0,TEXT(AM662,"0%"), IF(AM662*100&lt;1,IF(AM662*100&gt;=0.1, TEXT(AM662,"0.0%"),"~0%"), TEXT(AM662,"0%")))</f>
        <v>0%</v>
      </c>
      <c r="AO662" s="392">
        <f>IF(LEFT(V662,9)="less than",(V643*RIGHT(V662,(LEN(V662)-10))/100),(V643*(V662/100)))</f>
        <v>0</v>
      </c>
      <c r="AP662" s="393">
        <f t="shared" si="7"/>
        <v>0</v>
      </c>
      <c r="AQ662" s="390"/>
      <c r="AR662" s="384"/>
    </row>
    <row r="663" spans="1:64" ht="15" customHeight="1" x14ac:dyDescent="0.2">
      <c r="A663" s="554">
        <f t="shared" si="10"/>
        <v>2</v>
      </c>
      <c r="B663" s="357" t="s">
        <v>329</v>
      </c>
      <c r="C663" s="307" t="s">
        <v>55</v>
      </c>
      <c r="D663" s="308"/>
      <c r="E663" s="308"/>
      <c r="F663" s="308"/>
      <c r="G663" s="308"/>
      <c r="H663" s="308"/>
      <c r="I663" s="308"/>
      <c r="J663" s="308"/>
      <c r="K663" s="308"/>
      <c r="L663" s="308"/>
      <c r="M663" s="1092" t="str">
        <f>IF(A663=3, IF(LEFT(V663,9)="less than", IF(AP663&lt;1, "less than 1",("less than "&amp;TEXT((AP663),"0.0"))),(AP663)),IF(A663=1,"Wrong Text",IF(A663=2,IF(LEFT(V663,11)&gt;"n",V663,""))))</f>
        <v/>
      </c>
      <c r="N663" s="1093"/>
      <c r="O663" s="1093"/>
      <c r="P663" s="1093"/>
      <c r="Q663" s="1093"/>
      <c r="R663" s="330" t="str">
        <f t="shared" si="5"/>
        <v/>
      </c>
      <c r="S663" s="934"/>
      <c r="T663" s="934"/>
      <c r="U663" s="935"/>
      <c r="V663" s="639"/>
      <c r="W663" s="640"/>
      <c r="X663" s="640"/>
      <c r="Y663" s="640"/>
      <c r="Z663" s="640"/>
      <c r="AA663" s="148" t="str">
        <f t="shared" si="6"/>
        <v/>
      </c>
      <c r="AB663" s="833"/>
      <c r="AC663" s="833"/>
      <c r="AD663" s="833"/>
      <c r="AE663" s="833"/>
      <c r="AF663" s="833"/>
      <c r="AG663" s="833"/>
      <c r="AH663" s="487"/>
      <c r="AI663" s="607"/>
      <c r="AJ663" s="557"/>
      <c r="AK663" s="584"/>
      <c r="AL663" s="606">
        <f>IF(LEFT(V663,9)="less than", 0, IF(V663="unavailable",0,IF(V663 = "not detected", 0,V663)))</f>
        <v>0</v>
      </c>
      <c r="AM663" s="391"/>
      <c r="AN663" s="392"/>
      <c r="AO663" s="392">
        <f>IF(LEFT(V663,9)="less than",(V643*RIGHT(V663,(LEN(V663)-10))/100),(V643*(V663/100)))</f>
        <v>0</v>
      </c>
      <c r="AP663" s="393">
        <f t="shared" si="7"/>
        <v>0</v>
      </c>
      <c r="AQ663" s="390"/>
      <c r="AR663" s="384"/>
    </row>
    <row r="664" spans="1:64" ht="4.5" customHeight="1" x14ac:dyDescent="0.2">
      <c r="A664" s="578" t="s">
        <v>298</v>
      </c>
      <c r="B664" s="355"/>
      <c r="C664" s="146"/>
      <c r="D664" s="146"/>
      <c r="E664" s="146"/>
      <c r="F664" s="146"/>
      <c r="G664" s="146"/>
      <c r="H664" s="146"/>
      <c r="I664" s="146"/>
      <c r="J664" s="146"/>
      <c r="K664" s="146"/>
      <c r="L664" s="146"/>
      <c r="M664" s="146"/>
      <c r="N664" s="146"/>
      <c r="S664" s="2"/>
      <c r="T664" s="2"/>
      <c r="U664" s="2"/>
      <c r="V664" s="2"/>
      <c r="W664" s="2"/>
      <c r="X664" s="2"/>
      <c r="Y664" s="2"/>
      <c r="Z664" s="2"/>
      <c r="AA664" s="77"/>
      <c r="AB664" s="77"/>
      <c r="AC664" s="77"/>
      <c r="AD664" s="77"/>
      <c r="AE664" s="77"/>
      <c r="AF664" s="77"/>
      <c r="AH664" s="488"/>
      <c r="AI664" s="607"/>
      <c r="AJ664" s="557"/>
      <c r="AK664" s="604"/>
      <c r="AL664" s="605"/>
      <c r="AM664" s="390"/>
      <c r="AN664" s="390"/>
      <c r="AO664" s="390"/>
      <c r="AP664" s="390"/>
      <c r="AQ664" s="390"/>
      <c r="AR664" s="384"/>
    </row>
    <row r="665" spans="1:64" ht="15" customHeight="1" x14ac:dyDescent="0.2">
      <c r="A665" s="578"/>
      <c r="B665" s="359"/>
      <c r="C665" s="146" t="s">
        <v>241</v>
      </c>
      <c r="D665" s="146"/>
      <c r="E665" s="146"/>
      <c r="F665" s="146"/>
      <c r="G665" s="146"/>
      <c r="H665" s="146"/>
      <c r="I665" s="146"/>
      <c r="J665" s="146"/>
      <c r="K665" s="146"/>
      <c r="L665" s="146"/>
      <c r="M665" s="146"/>
      <c r="N665" s="146"/>
      <c r="S665" s="2"/>
      <c r="T665" s="2"/>
      <c r="U665" s="2"/>
      <c r="V665" s="2"/>
      <c r="W665" s="2"/>
      <c r="X665" s="2"/>
      <c r="Y665" s="2"/>
      <c r="Z665" s="2"/>
      <c r="AA665" s="77"/>
      <c r="AB665" s="77"/>
      <c r="AC665" s="77"/>
      <c r="AD665" s="77"/>
      <c r="AE665" s="77"/>
      <c r="AF665" s="77"/>
      <c r="AH665" s="488"/>
      <c r="AI665" s="607"/>
      <c r="AJ665" s="557"/>
      <c r="AK665" s="604"/>
      <c r="AL665" s="605"/>
      <c r="AM665" s="390"/>
      <c r="AN665" s="390"/>
      <c r="AO665" s="390"/>
      <c r="AP665" s="390"/>
      <c r="AQ665" s="390"/>
      <c r="AR665" s="384"/>
    </row>
    <row r="666" spans="1:64" ht="14.25" customHeight="1" thickBot="1" x14ac:dyDescent="0.25">
      <c r="A666" s="578"/>
      <c r="B666" s="359"/>
      <c r="C666" s="146" t="s">
        <v>71</v>
      </c>
      <c r="D666" s="146"/>
      <c r="E666" s="146"/>
      <c r="F666" s="146"/>
      <c r="G666" s="146"/>
      <c r="H666" s="146"/>
      <c r="I666" s="146"/>
      <c r="J666" s="146"/>
      <c r="K666" s="146"/>
      <c r="L666" s="146"/>
      <c r="M666" s="146"/>
      <c r="N666" s="146"/>
      <c r="S666" s="2"/>
      <c r="T666" s="2"/>
      <c r="U666" s="2"/>
      <c r="V666" s="2"/>
      <c r="W666" s="2"/>
      <c r="X666" s="2"/>
      <c r="Y666" s="2"/>
      <c r="Z666" s="2"/>
      <c r="AA666" s="77"/>
      <c r="AB666" s="77"/>
      <c r="AC666" s="77"/>
      <c r="AD666" s="77"/>
      <c r="AE666" s="77"/>
      <c r="AF666" s="77"/>
      <c r="AH666" s="488"/>
      <c r="AI666" s="607"/>
      <c r="AJ666" s="557"/>
      <c r="AK666" s="604"/>
      <c r="AL666" s="605"/>
      <c r="AM666" s="390"/>
      <c r="AN666" s="390"/>
      <c r="AO666" s="390"/>
      <c r="AP666" s="390"/>
      <c r="AQ666" s="390"/>
      <c r="AR666" s="384"/>
    </row>
    <row r="667" spans="1:64" ht="12.75" customHeight="1" thickBot="1" x14ac:dyDescent="0.25">
      <c r="A667" s="562">
        <f>IF(P667="X", IF(T667="X",2,IF(AA667="X",2,1)), IF(T667="X",IF(AA667="X",2,1),IF(AA667="X",1,2)))</f>
        <v>1</v>
      </c>
      <c r="B667" s="335"/>
      <c r="C667" s="72" t="str">
        <f>IF(A667=2,A664,"")</f>
        <v/>
      </c>
      <c r="D667" s="63"/>
      <c r="E667" s="63"/>
      <c r="F667" s="63"/>
      <c r="G667" s="63"/>
      <c r="H667" s="63"/>
      <c r="I667" s="62"/>
      <c r="J667" s="63"/>
      <c r="K667" s="63"/>
      <c r="L667" s="63"/>
      <c r="M667" s="63"/>
      <c r="N667" s="63"/>
      <c r="O667" s="62"/>
      <c r="P667" s="165" t="s">
        <v>714</v>
      </c>
      <c r="Q667" s="58" t="s">
        <v>633</v>
      </c>
      <c r="R667" s="62"/>
      <c r="S667" s="62"/>
      <c r="T667" s="165"/>
      <c r="U667" s="58" t="s">
        <v>339</v>
      </c>
      <c r="V667" s="58"/>
      <c r="W667" s="62"/>
      <c r="X667" s="442"/>
      <c r="Y667" s="58"/>
      <c r="Z667" s="62"/>
      <c r="AA667" s="165"/>
      <c r="AB667" s="58" t="s">
        <v>342</v>
      </c>
      <c r="AC667" s="58"/>
      <c r="AD667" s="62"/>
      <c r="AE667" s="62"/>
      <c r="AF667" s="62"/>
      <c r="AH667" s="222"/>
      <c r="AI667" s="607"/>
      <c r="AJ667" s="557"/>
      <c r="AK667" s="610"/>
      <c r="AL667" s="611"/>
      <c r="AM667" s="390"/>
      <c r="AN667" s="395"/>
      <c r="AO667" s="395"/>
      <c r="AP667" s="395"/>
      <c r="AQ667" s="395"/>
      <c r="AR667" s="384"/>
    </row>
    <row r="668" spans="1:64" ht="4.5" customHeight="1" x14ac:dyDescent="0.2">
      <c r="A668" s="562"/>
      <c r="B668" s="337"/>
      <c r="C668" s="146"/>
      <c r="D668" s="146"/>
      <c r="E668" s="146"/>
      <c r="F668" s="146"/>
      <c r="G668" s="146"/>
      <c r="H668" s="146"/>
      <c r="I668" s="146"/>
      <c r="J668" s="146"/>
      <c r="K668" s="146"/>
      <c r="L668" s="146"/>
      <c r="M668" s="146"/>
      <c r="N668" s="146"/>
      <c r="S668" s="2"/>
      <c r="T668" s="2"/>
      <c r="U668" s="2"/>
      <c r="V668" s="2"/>
      <c r="W668" s="2"/>
      <c r="X668" s="2"/>
      <c r="Y668" s="2"/>
      <c r="Z668" s="2"/>
      <c r="AA668" s="2"/>
      <c r="AB668" s="2"/>
      <c r="AC668" s="2"/>
      <c r="AH668" s="488"/>
      <c r="AI668" s="558"/>
      <c r="AJ668" s="557"/>
      <c r="AK668" s="610"/>
      <c r="AL668" s="611"/>
      <c r="AM668" s="395"/>
      <c r="AN668" s="395"/>
      <c r="AO668" s="395"/>
      <c r="AP668" s="395"/>
      <c r="AQ668" s="395"/>
      <c r="AR668" s="384"/>
    </row>
    <row r="669" spans="1:64" ht="19.5" customHeight="1" x14ac:dyDescent="0.2">
      <c r="A669" s="562"/>
      <c r="B669" s="337"/>
      <c r="C669" s="820" t="s">
        <v>570</v>
      </c>
      <c r="D669" s="821"/>
      <c r="E669" s="821"/>
      <c r="F669" s="821"/>
      <c r="G669" s="821"/>
      <c r="H669" s="821"/>
      <c r="I669" s="822"/>
      <c r="J669" s="918" t="s">
        <v>326</v>
      </c>
      <c r="K669" s="919"/>
      <c r="L669" s="919"/>
      <c r="M669" s="919"/>
      <c r="N669" s="920"/>
      <c r="O669" s="1076" t="s">
        <v>889</v>
      </c>
      <c r="P669" s="1077"/>
      <c r="Q669" s="1077"/>
      <c r="R669" s="820" t="s">
        <v>569</v>
      </c>
      <c r="S669" s="821"/>
      <c r="T669" s="821"/>
      <c r="U669" s="821"/>
      <c r="V669" s="821"/>
      <c r="W669" s="821"/>
      <c r="X669" s="822"/>
      <c r="Y669" s="918" t="s">
        <v>326</v>
      </c>
      <c r="Z669" s="919"/>
      <c r="AA669" s="919"/>
      <c r="AB669" s="919"/>
      <c r="AC669" s="920"/>
      <c r="AD669" s="1076" t="s">
        <v>889</v>
      </c>
      <c r="AE669" s="1077"/>
      <c r="AF669" s="1077"/>
      <c r="AG669" s="21"/>
      <c r="AH669" s="222"/>
      <c r="AI669" s="607"/>
      <c r="AJ669" s="557"/>
      <c r="AK669" s="604"/>
      <c r="AL669" s="605"/>
      <c r="AM669" s="390"/>
      <c r="AN669" s="390"/>
      <c r="AO669" s="390"/>
      <c r="AP669" s="390"/>
      <c r="AQ669" s="390"/>
      <c r="AR669" s="384"/>
      <c r="BH669" s="388"/>
      <c r="BI669" s="388"/>
      <c r="BJ669" s="388"/>
      <c r="BK669" s="388"/>
      <c r="BL669" s="388"/>
    </row>
    <row r="670" spans="1:64" ht="15" customHeight="1" x14ac:dyDescent="0.2">
      <c r="A670" s="562"/>
      <c r="B670" s="335"/>
      <c r="C670" s="823"/>
      <c r="D670" s="824"/>
      <c r="E670" s="824"/>
      <c r="F670" s="824"/>
      <c r="G670" s="824"/>
      <c r="H670" s="824"/>
      <c r="I670" s="825"/>
      <c r="J670" s="1080" t="s">
        <v>327</v>
      </c>
      <c r="K670" s="1081"/>
      <c r="L670" s="1081"/>
      <c r="M670" s="1094" t="str">
        <f>B649</f>
        <v/>
      </c>
      <c r="N670" s="1095"/>
      <c r="O670" s="1078"/>
      <c r="P670" s="1077"/>
      <c r="Q670" s="1077"/>
      <c r="R670" s="823"/>
      <c r="S670" s="824"/>
      <c r="T670" s="824"/>
      <c r="U670" s="824"/>
      <c r="V670" s="824"/>
      <c r="W670" s="824"/>
      <c r="X670" s="825"/>
      <c r="Y670" s="921" t="s">
        <v>327</v>
      </c>
      <c r="Z670" s="922"/>
      <c r="AA670" s="922"/>
      <c r="AB670" s="925" t="str">
        <f>B649</f>
        <v/>
      </c>
      <c r="AC670" s="926"/>
      <c r="AD670" s="1078"/>
      <c r="AE670" s="1077"/>
      <c r="AF670" s="1077"/>
      <c r="AG670" s="21"/>
      <c r="AH670" s="222"/>
      <c r="AI670" s="607"/>
      <c r="AJ670" s="557"/>
      <c r="AK670" s="610"/>
      <c r="AL670" s="611"/>
      <c r="AM670" s="395"/>
      <c r="AN670" s="395"/>
      <c r="AO670" s="395"/>
      <c r="AP670" s="395"/>
      <c r="AQ670" s="395"/>
      <c r="AR670" s="384"/>
      <c r="BH670" s="388"/>
      <c r="BI670" s="388"/>
      <c r="BJ670" s="388"/>
      <c r="BK670" s="388"/>
      <c r="BL670" s="388"/>
    </row>
    <row r="671" spans="1:64" ht="15" customHeight="1" x14ac:dyDescent="0.2">
      <c r="A671" s="562" t="e">
        <f>IF(P667="X",(LOOKUP(C671,AN922:AN935,AP922:AP935)),IF(T667="X",(LOOKUP(C671,AN922:AN935,AQ922:AQ935)),(LOOKUP(C671,AN922:AN935,AR922:AR935))))</f>
        <v>#N/A</v>
      </c>
      <c r="B671" s="335" t="e">
        <f>IF(P667="X",(LOOKUP(R671,AS922:AS932,AU922:AU932)),IF(T667="X",(LOOKUP(R671,AS922:AS932,AV922:AV932)),(LOOKUP(R671,AS922:AS932,AW922:AW932))))</f>
        <v>#N/A</v>
      </c>
      <c r="C671" s="826"/>
      <c r="D671" s="827"/>
      <c r="E671" s="827"/>
      <c r="F671" s="827"/>
      <c r="G671" s="827"/>
      <c r="H671" s="827"/>
      <c r="I671" s="936"/>
      <c r="J671" s="1457"/>
      <c r="K671" s="867"/>
      <c r="L671" s="867"/>
      <c r="M671" s="867"/>
      <c r="N671" s="403" t="e">
        <f>LOOKUP(C671,AN922:AN935,AO922:AO935)</f>
        <v>#N/A</v>
      </c>
      <c r="O671" s="927" t="str">
        <f>IF(COUNTA(J671)&gt;0, (V643*(J671/100))/A671,"")</f>
        <v/>
      </c>
      <c r="P671" s="928"/>
      <c r="Q671" s="940"/>
      <c r="R671" s="826"/>
      <c r="S671" s="827"/>
      <c r="T671" s="827"/>
      <c r="U671" s="827"/>
      <c r="V671" s="827"/>
      <c r="W671" s="827"/>
      <c r="X671" s="827"/>
      <c r="Y671" s="866"/>
      <c r="Z671" s="867"/>
      <c r="AA671" s="867"/>
      <c r="AB671" s="867"/>
      <c r="AC671" s="403" t="e">
        <f>LOOKUP(R671,AS922:AS932,AT922:AT932)</f>
        <v>#N/A</v>
      </c>
      <c r="AD671" s="927" t="str">
        <f>IF(COUNTA(Y671)&gt;0, (V643*(Y671/100))/B671,"")</f>
        <v/>
      </c>
      <c r="AE671" s="928"/>
      <c r="AF671" s="928"/>
      <c r="AG671" s="21"/>
      <c r="AH671" s="489"/>
      <c r="AI671" s="607"/>
      <c r="AJ671" s="557"/>
      <c r="AK671" s="610"/>
      <c r="AL671" s="611"/>
      <c r="AM671" s="395"/>
      <c r="AN671" s="395"/>
      <c r="AO671" s="395"/>
      <c r="AP671" s="395"/>
      <c r="AQ671" s="395"/>
      <c r="AR671" s="384"/>
      <c r="BH671" s="388"/>
      <c r="BI671" s="388"/>
      <c r="BJ671" s="388"/>
      <c r="BK671" s="388"/>
      <c r="BL671" s="388"/>
    </row>
    <row r="672" spans="1:64" ht="13.5" customHeight="1" x14ac:dyDescent="0.2">
      <c r="A672" s="562" t="e">
        <f>IF(P667="X",(LOOKUP(C672,AN922:AN935,AP922:AP935)),IF(T667="X",(LOOKUP(C672,AN922:AN935,AQ922:AQ935)),(LOOKUP(C672,AN922:AN935,AR922:AR935))))</f>
        <v>#N/A</v>
      </c>
      <c r="B672" s="335" t="e">
        <f>IF(T667="X",(LOOKUP(R672,AR922:AR932,AT922:AT932)),IF(T667="X",(LOOKUP(R672,AS922:AS932,AV922:AV932)),(LOOKUP(R672,AS922:AS932,AW922:AW932))))</f>
        <v>#N/A</v>
      </c>
      <c r="C672" s="826"/>
      <c r="D672" s="827"/>
      <c r="E672" s="827"/>
      <c r="F672" s="827"/>
      <c r="G672" s="827"/>
      <c r="H672" s="827"/>
      <c r="I672" s="936"/>
      <c r="J672" s="866"/>
      <c r="K672" s="867"/>
      <c r="L672" s="867"/>
      <c r="M672" s="867"/>
      <c r="N672" s="403" t="e">
        <f>LOOKUP(C672,AN922:AN935,AO922:AO935)</f>
        <v>#N/A</v>
      </c>
      <c r="O672" s="927" t="str">
        <f>IF(COUNTA(J672)&gt;0, (V643*(J672/100))/A672,"")</f>
        <v/>
      </c>
      <c r="P672" s="939"/>
      <c r="Q672" s="940"/>
      <c r="R672" s="826"/>
      <c r="S672" s="827"/>
      <c r="T672" s="827"/>
      <c r="U672" s="827"/>
      <c r="V672" s="827"/>
      <c r="W672" s="827"/>
      <c r="X672" s="827"/>
      <c r="Y672" s="866"/>
      <c r="Z672" s="867"/>
      <c r="AA672" s="867"/>
      <c r="AB672" s="867"/>
      <c r="AC672" s="403" t="e">
        <f>LOOKUP(R672,AS922:AS932,AT922:AT932)</f>
        <v>#N/A</v>
      </c>
      <c r="AD672" s="927" t="str">
        <f>IF(COUNTA(Y672)&gt;0, (V643*(Y672/100))/B672,"")</f>
        <v/>
      </c>
      <c r="AE672" s="928"/>
      <c r="AF672" s="928"/>
      <c r="AG672" s="21"/>
      <c r="AH672" s="488"/>
      <c r="AI672" s="612"/>
      <c r="AJ672" s="557"/>
      <c r="AK672" s="610"/>
      <c r="AL672" s="611"/>
      <c r="AM672" s="395"/>
      <c r="AN672" s="395"/>
      <c r="AO672" s="395"/>
      <c r="AP672" s="395"/>
      <c r="AQ672" s="395"/>
      <c r="AR672" s="384"/>
      <c r="BH672" s="388"/>
      <c r="BI672" s="388"/>
      <c r="BJ672" s="388"/>
      <c r="BK672" s="388"/>
      <c r="BL672" s="388"/>
    </row>
    <row r="673" spans="1:44" ht="13.5" customHeight="1" x14ac:dyDescent="0.2">
      <c r="A673" s="562" t="e">
        <f>IF(P667="X",(LOOKUP(C673,AN922:AN935,AP922:AP935)),IF(T667="X",(LOOKUP(C673,AN922:AN935,AQ922:AQ935)),(LOOKUP(C673,AN922:AN935,AR922:AR935))))</f>
        <v>#N/A</v>
      </c>
      <c r="B673" s="335" t="e">
        <f>IF(T667="X",(LOOKUP(R673,AR922:AR932,AT922:AT932)),IF(T667="X",(LOOKUP(R673,AS922:AS932,AV922:AV932)),(LOOKUP(R673,AS922:AS932,AW922:AW932))))</f>
        <v>#N/A</v>
      </c>
      <c r="C673" s="826"/>
      <c r="D673" s="827"/>
      <c r="E673" s="827"/>
      <c r="F673" s="827"/>
      <c r="G673" s="827"/>
      <c r="H673" s="827"/>
      <c r="I673" s="936"/>
      <c r="J673" s="866"/>
      <c r="K673" s="867"/>
      <c r="L673" s="867"/>
      <c r="M673" s="867"/>
      <c r="N673" s="403" t="e">
        <f>LOOKUP(C673,AN922:AN935,AO922:AO935)</f>
        <v>#N/A</v>
      </c>
      <c r="O673" s="927" t="str">
        <f>IF(COUNTA(J673)&gt;0, (V643*(J673/100))/A673,"")</f>
        <v/>
      </c>
      <c r="P673" s="939"/>
      <c r="Q673" s="940"/>
      <c r="R673" s="826"/>
      <c r="S673" s="827"/>
      <c r="T673" s="827"/>
      <c r="U673" s="827"/>
      <c r="V673" s="827"/>
      <c r="W673" s="827"/>
      <c r="X673" s="827"/>
      <c r="Y673" s="866"/>
      <c r="Z673" s="867"/>
      <c r="AA673" s="867"/>
      <c r="AB673" s="867"/>
      <c r="AC673" s="403" t="e">
        <f>LOOKUP(R673,AS922:AS932,AT922:AT932)</f>
        <v>#N/A</v>
      </c>
      <c r="AD673" s="927" t="str">
        <f>IF(COUNTA(Y673)&gt;0, (V643*(Y673/100))/B673,"")</f>
        <v/>
      </c>
      <c r="AE673" s="928"/>
      <c r="AF673" s="928"/>
      <c r="AG673" s="21"/>
      <c r="AH673" s="488"/>
      <c r="AI673" s="612"/>
      <c r="AJ673" s="557"/>
      <c r="AK673" s="596"/>
      <c r="AL673" s="613"/>
      <c r="AM673" s="385"/>
      <c r="AN673" s="385"/>
      <c r="AO673" s="385"/>
      <c r="AP673" s="385"/>
      <c r="AQ673" s="384"/>
      <c r="AR673" s="384"/>
    </row>
    <row r="674" spans="1:44" ht="13.5" customHeight="1" x14ac:dyDescent="0.2">
      <c r="A674" s="562" t="e">
        <f>IF(P667="X",(LOOKUP(C674,AN922:AN935,AP922:AP935)),IF(T667="X",(LOOKUP(C674,AN922:AN935,AQ922:AQ935)),(LOOKUP(C674,AN922:AN935,AR922:AR935))))</f>
        <v>#N/A</v>
      </c>
      <c r="B674" s="335" t="e">
        <f>IF(T667="X",(LOOKUP(R674,AR922:AR932,AT922:AT932)),IF(T667="X",(LOOKUP(R674,AS922:AS932,AV922:AV932)),(LOOKUP(R674,AS922:AS932,AW922:AW932))))</f>
        <v>#N/A</v>
      </c>
      <c r="C674" s="826"/>
      <c r="D674" s="827"/>
      <c r="E674" s="827"/>
      <c r="F674" s="827"/>
      <c r="G674" s="827"/>
      <c r="H674" s="827"/>
      <c r="I674" s="936"/>
      <c r="J674" s="866"/>
      <c r="K674" s="867"/>
      <c r="L674" s="867"/>
      <c r="M674" s="867"/>
      <c r="N674" s="403" t="e">
        <f>LOOKUP(C674,AN922:AN935,AO922:AO935)</f>
        <v>#N/A</v>
      </c>
      <c r="O674" s="927" t="str">
        <f>IF(COUNTA(J674)&gt;0, (V643*(J674/100))/A674,"")</f>
        <v/>
      </c>
      <c r="P674" s="939"/>
      <c r="Q674" s="940"/>
      <c r="R674" s="826"/>
      <c r="S674" s="827"/>
      <c r="T674" s="827"/>
      <c r="U674" s="827"/>
      <c r="V674" s="827"/>
      <c r="W674" s="827"/>
      <c r="X674" s="827"/>
      <c r="Y674" s="866"/>
      <c r="Z674" s="867"/>
      <c r="AA674" s="867"/>
      <c r="AB674" s="867"/>
      <c r="AC674" s="403" t="e">
        <f>LOOKUP(R674,AS922:AS932,AT922:AT932)</f>
        <v>#N/A</v>
      </c>
      <c r="AD674" s="915" t="str">
        <f>IF(COUNTA(Y674)&gt;0, (V643*(Y674/100))/B674,"")</f>
        <v/>
      </c>
      <c r="AE674" s="916"/>
      <c r="AF674" s="917"/>
      <c r="AG674" s="21"/>
      <c r="AH674" s="488"/>
      <c r="AI674" s="612"/>
      <c r="AJ674" s="557"/>
      <c r="AK674" s="596"/>
      <c r="AL674" s="613"/>
      <c r="AM674" s="385"/>
      <c r="AN674" s="385"/>
      <c r="AO674" s="385"/>
      <c r="AP674" s="385"/>
      <c r="AQ674" s="384"/>
      <c r="AR674" s="384"/>
    </row>
    <row r="675" spans="1:44" ht="13.5" customHeight="1" x14ac:dyDescent="0.2">
      <c r="A675" s="562" t="e">
        <f>IF(T667="X",(LOOKUP(C675,AN922:AN935,AP922:AP935)),IF(T667="X",(LOOKUP(C675,AN922:AN935,AQ922:AQ935)),(LOOKUP(C675,AN922:AN935,AR922:AR935))))</f>
        <v>#N/A</v>
      </c>
      <c r="B675" s="335" t="e">
        <f>IF(T667="X",(LOOKUP(R675,AR922:AR932,AT922:AT932)),IF(T667="X",(LOOKUP(R675,AS922:AS932,AV922:AV932)),(LOOKUP(R675,AS922:AS932,AW922:AW932))))</f>
        <v>#N/A</v>
      </c>
      <c r="C675" s="826"/>
      <c r="D675" s="827"/>
      <c r="E675" s="827"/>
      <c r="F675" s="827"/>
      <c r="G675" s="827"/>
      <c r="H675" s="827"/>
      <c r="I675" s="936"/>
      <c r="J675" s="866"/>
      <c r="K675" s="867"/>
      <c r="L675" s="867"/>
      <c r="M675" s="867"/>
      <c r="N675" s="403" t="e">
        <f>LOOKUP(C675,AN922:AN935,AO922:AO935)</f>
        <v>#N/A</v>
      </c>
      <c r="O675" s="927" t="str">
        <f>IF(COUNTA(J675)&gt;0, (V643*(J675/100))/A675,"")</f>
        <v/>
      </c>
      <c r="P675" s="939"/>
      <c r="Q675" s="940"/>
      <c r="R675" s="826"/>
      <c r="S675" s="827"/>
      <c r="T675" s="827"/>
      <c r="U675" s="827"/>
      <c r="V675" s="827"/>
      <c r="W675" s="827"/>
      <c r="X675" s="827"/>
      <c r="Y675" s="866"/>
      <c r="Z675" s="867"/>
      <c r="AA675" s="867"/>
      <c r="AB675" s="867"/>
      <c r="AC675" s="403" t="e">
        <f>LOOKUP(R675,AS922:AS932,AT922:AT932)</f>
        <v>#N/A</v>
      </c>
      <c r="AD675" s="915" t="str">
        <f>IF(COUNTA(Y675)&gt;0,(V643*(Y675/100))/B675,"")</f>
        <v/>
      </c>
      <c r="AE675" s="916"/>
      <c r="AF675" s="917"/>
      <c r="AH675" s="488"/>
      <c r="AI675" s="612"/>
      <c r="AJ675" s="557"/>
      <c r="AK675" s="558"/>
      <c r="AL675" s="614"/>
      <c r="AM675" s="371"/>
      <c r="AN675" s="371"/>
      <c r="AO675" s="371"/>
      <c r="AP675" s="371"/>
    </row>
    <row r="676" spans="1:44" ht="13.5" customHeight="1" x14ac:dyDescent="0.2">
      <c r="A676" s="562" t="e">
        <f>IF(T667="X",(LOOKUP(C676,AN922:AN935,AP922:AP935)),IF(T667="X",(LOOKUP(C676,AN922:AN935,AQ922:AQ935)),(LOOKUP(C676,AN922:AN935,AR922:AR935))))</f>
        <v>#N/A</v>
      </c>
      <c r="B676" s="335" t="e">
        <f>IF(T667="X",(LOOKUP(R676,AR922:AR932,AT922:AT932)),IF(T667="X",(LOOKUP(R676,AS922:AS932,AV922:AV932)),(LOOKUP(R676,AS922:AS932,AW922:AW932))))</f>
        <v>#N/A</v>
      </c>
      <c r="C676" s="826"/>
      <c r="D676" s="827"/>
      <c r="E676" s="827"/>
      <c r="F676" s="827"/>
      <c r="G676" s="827"/>
      <c r="H676" s="827"/>
      <c r="I676" s="936"/>
      <c r="J676" s="937"/>
      <c r="K676" s="938"/>
      <c r="L676" s="938"/>
      <c r="M676" s="938"/>
      <c r="N676" s="403" t="e">
        <f>LOOKUP(C676,AN922:AN935,AO922:AO935)</f>
        <v>#N/A</v>
      </c>
      <c r="O676" s="927" t="str">
        <f>IF(COUNTA(J676)&gt;0, (V643*(J676/100))/A676,"")</f>
        <v/>
      </c>
      <c r="P676" s="939"/>
      <c r="Q676" s="940"/>
      <c r="R676" s="826"/>
      <c r="S676" s="827"/>
      <c r="T676" s="827"/>
      <c r="U676" s="827"/>
      <c r="V676" s="827"/>
      <c r="W676" s="827"/>
      <c r="X676" s="827"/>
      <c r="Y676" s="1724"/>
      <c r="Z676" s="1725"/>
      <c r="AA676" s="1725"/>
      <c r="AB676" s="1725"/>
      <c r="AC676" s="403" t="e">
        <f>LOOKUP(R676,AS922:AS932,AT922:AT932)</f>
        <v>#N/A</v>
      </c>
      <c r="AD676" s="915" t="str">
        <f>IF(COUNTA(Y676)&gt;0, (V643*(Y676/100))/B676,"")</f>
        <v/>
      </c>
      <c r="AE676" s="916"/>
      <c r="AF676" s="917"/>
      <c r="AH676" s="488"/>
      <c r="AI676" s="607"/>
      <c r="AJ676" s="557"/>
      <c r="AK676" s="558"/>
      <c r="AL676" s="614"/>
      <c r="AM676" s="371"/>
      <c r="AN676" s="371"/>
      <c r="AO676" s="371"/>
      <c r="AP676" s="371"/>
    </row>
    <row r="677" spans="1:44" ht="13.5" customHeight="1" x14ac:dyDescent="0.2">
      <c r="A677" s="578"/>
      <c r="B677" s="337"/>
      <c r="C677" s="159" t="s">
        <v>981</v>
      </c>
      <c r="D677" s="490"/>
      <c r="E677" s="490"/>
      <c r="F677" s="491"/>
      <c r="G677" s="159"/>
      <c r="H677" s="492"/>
      <c r="I677" s="492"/>
      <c r="J677" s="492"/>
      <c r="K677" s="492"/>
      <c r="L677" s="492"/>
      <c r="M677" s="492"/>
      <c r="N677" s="492"/>
      <c r="O677" s="493"/>
      <c r="P677" s="493"/>
      <c r="Q677" s="493"/>
      <c r="R677" s="492"/>
      <c r="S677" s="492"/>
      <c r="T677" s="492"/>
      <c r="U677" s="492"/>
      <c r="V677" s="492"/>
      <c r="W677" s="492"/>
      <c r="X677" s="492"/>
      <c r="Y677" s="490"/>
      <c r="Z677" s="494"/>
      <c r="AA677" s="490"/>
      <c r="AB677" s="490"/>
      <c r="AC677" s="490"/>
      <c r="AD677" s="415"/>
      <c r="AE677" s="415"/>
      <c r="AF677" s="415"/>
      <c r="AG677" s="21"/>
      <c r="AH677" s="75"/>
      <c r="AI677" s="607"/>
      <c r="AJ677" s="557"/>
      <c r="AK677" s="558"/>
      <c r="AL677" s="614"/>
      <c r="AM677" s="371"/>
      <c r="AN677" s="371"/>
      <c r="AO677" s="371"/>
      <c r="AP677" s="371"/>
    </row>
    <row r="678" spans="1:44" ht="14.25" customHeight="1" x14ac:dyDescent="0.2">
      <c r="A678" s="562"/>
      <c r="B678" s="335"/>
      <c r="C678" s="1458" t="s">
        <v>56</v>
      </c>
      <c r="D678" s="1458"/>
      <c r="E678" s="1458"/>
      <c r="F678" s="1458"/>
      <c r="G678" s="1458"/>
      <c r="H678" s="1458"/>
      <c r="I678" s="1458"/>
      <c r="J678" s="1458"/>
      <c r="K678" s="1458"/>
      <c r="L678" s="1458"/>
      <c r="M678" s="1458"/>
      <c r="N678" s="1458"/>
      <c r="O678" s="1458"/>
      <c r="P678" s="1458"/>
      <c r="Q678" s="1458"/>
      <c r="R678" s="1458"/>
      <c r="S678" s="1458"/>
      <c r="T678" s="1458"/>
      <c r="U678" s="1458"/>
      <c r="V678" s="1458"/>
      <c r="W678" s="1458"/>
      <c r="X678" s="1458"/>
      <c r="Y678" s="1458"/>
      <c r="Z678" s="1458"/>
      <c r="AA678" s="1458"/>
      <c r="AB678" s="1458"/>
      <c r="AC678" s="1458"/>
      <c r="AD678" s="1458"/>
      <c r="AE678" s="1458"/>
      <c r="AF678" s="21"/>
      <c r="AH678" s="222"/>
      <c r="AI678" s="607"/>
      <c r="AJ678" s="557"/>
      <c r="AK678" s="558"/>
      <c r="AL678" s="614"/>
      <c r="AM678" s="371"/>
      <c r="AN678" s="371"/>
      <c r="AO678" s="371"/>
      <c r="AP678" s="371"/>
    </row>
    <row r="679" spans="1:44" ht="12.75" customHeight="1" x14ac:dyDescent="0.2">
      <c r="A679" s="562"/>
      <c r="B679" s="335"/>
      <c r="C679" s="625" t="s">
        <v>344</v>
      </c>
      <c r="D679" s="626"/>
      <c r="E679" s="626"/>
      <c r="F679" s="626"/>
      <c r="G679" s="626"/>
      <c r="H679" s="626"/>
      <c r="I679" s="626"/>
      <c r="J679" s="626"/>
      <c r="K679" s="626"/>
      <c r="L679" s="626"/>
      <c r="M679" s="626"/>
      <c r="N679" s="626"/>
      <c r="O679" s="626"/>
      <c r="P679" s="626"/>
      <c r="Q679" s="627"/>
      <c r="R679" s="1090" t="s">
        <v>463</v>
      </c>
      <c r="S679" s="1091"/>
      <c r="T679" s="1091"/>
      <c r="U679" s="1091"/>
      <c r="V679" s="1091"/>
      <c r="W679" s="1091"/>
      <c r="X679" s="1091"/>
      <c r="Y679" s="1091"/>
      <c r="Z679" s="116" t="str">
        <f>B649</f>
        <v/>
      </c>
      <c r="AA679" s="117"/>
      <c r="AB679" s="118" t="s">
        <v>890</v>
      </c>
      <c r="AC679" s="119"/>
      <c r="AD679" s="119"/>
      <c r="AE679" s="119"/>
      <c r="AF679" s="54"/>
      <c r="AH679" s="373"/>
      <c r="AI679" s="607"/>
      <c r="AJ679" s="557"/>
      <c r="AK679" s="558"/>
      <c r="AL679" s="614"/>
      <c r="AM679" s="371"/>
      <c r="AN679" s="371"/>
      <c r="AO679" s="371"/>
      <c r="AP679" s="371"/>
    </row>
    <row r="680" spans="1:44" ht="12.75" customHeight="1" x14ac:dyDescent="0.2">
      <c r="A680" s="562"/>
      <c r="B680" s="335"/>
      <c r="C680" s="639"/>
      <c r="D680" s="640"/>
      <c r="E680" s="640"/>
      <c r="F680" s="640"/>
      <c r="G680" s="640"/>
      <c r="H680" s="640"/>
      <c r="I680" s="640"/>
      <c r="J680" s="640"/>
      <c r="K680" s="640"/>
      <c r="L680" s="640"/>
      <c r="M680" s="640"/>
      <c r="N680" s="640"/>
      <c r="O680" s="640"/>
      <c r="P680" s="640"/>
      <c r="Q680" s="641"/>
      <c r="R680" s="931"/>
      <c r="S680" s="932"/>
      <c r="T680" s="932"/>
      <c r="U680" s="932"/>
      <c r="V680" s="932"/>
      <c r="W680" s="932"/>
      <c r="X680" s="932"/>
      <c r="Y680" s="932"/>
      <c r="Z680" s="932"/>
      <c r="AA680" s="933"/>
      <c r="AB680" s="923"/>
      <c r="AC680" s="924"/>
      <c r="AD680" s="924"/>
      <c r="AE680" s="924"/>
      <c r="AF680" s="54"/>
      <c r="AH680" s="373"/>
      <c r="AI680" s="558"/>
      <c r="AJ680" s="557"/>
      <c r="AK680" s="558"/>
      <c r="AL680" s="614"/>
      <c r="AM680" s="371"/>
      <c r="AN680" s="371"/>
      <c r="AO680" s="371"/>
      <c r="AP680" s="371"/>
    </row>
    <row r="681" spans="1:44" ht="12.75" customHeight="1" x14ac:dyDescent="0.2">
      <c r="A681" s="562"/>
      <c r="B681" s="335"/>
      <c r="C681" s="639"/>
      <c r="D681" s="640"/>
      <c r="E681" s="640"/>
      <c r="F681" s="640"/>
      <c r="G681" s="640"/>
      <c r="H681" s="640"/>
      <c r="I681" s="640"/>
      <c r="J681" s="640"/>
      <c r="K681" s="640"/>
      <c r="L681" s="640"/>
      <c r="M681" s="640"/>
      <c r="N681" s="640"/>
      <c r="O681" s="640"/>
      <c r="P681" s="640"/>
      <c r="Q681" s="641"/>
      <c r="R681" s="931"/>
      <c r="S681" s="932"/>
      <c r="T681" s="932"/>
      <c r="U681" s="932"/>
      <c r="V681" s="932"/>
      <c r="W681" s="932"/>
      <c r="X681" s="932"/>
      <c r="Y681" s="932"/>
      <c r="Z681" s="932"/>
      <c r="AA681" s="933"/>
      <c r="AB681" s="923"/>
      <c r="AC681" s="924"/>
      <c r="AD681" s="924"/>
      <c r="AE681" s="924"/>
      <c r="AF681" s="54"/>
      <c r="AH681" s="373"/>
      <c r="AI681" s="558"/>
      <c r="AJ681" s="557"/>
      <c r="AK681" s="558"/>
      <c r="AL681" s="614"/>
      <c r="AM681" s="371"/>
      <c r="AN681" s="371"/>
      <c r="AO681" s="371"/>
      <c r="AP681" s="371"/>
    </row>
    <row r="682" spans="1:44" ht="12.75" customHeight="1" x14ac:dyDescent="0.2">
      <c r="A682" s="562"/>
      <c r="B682" s="335"/>
      <c r="C682" s="639"/>
      <c r="D682" s="640"/>
      <c r="E682" s="640"/>
      <c r="F682" s="640"/>
      <c r="G682" s="640"/>
      <c r="H682" s="640"/>
      <c r="I682" s="640"/>
      <c r="J682" s="640"/>
      <c r="K682" s="640"/>
      <c r="L682" s="640"/>
      <c r="M682" s="640"/>
      <c r="N682" s="640"/>
      <c r="O682" s="640"/>
      <c r="P682" s="640"/>
      <c r="Q682" s="641"/>
      <c r="R682" s="931"/>
      <c r="S682" s="932"/>
      <c r="T682" s="932"/>
      <c r="U682" s="932"/>
      <c r="V682" s="932"/>
      <c r="W682" s="932"/>
      <c r="X682" s="932"/>
      <c r="Y682" s="932"/>
      <c r="Z682" s="932"/>
      <c r="AA682" s="933"/>
      <c r="AB682" s="923"/>
      <c r="AC682" s="924"/>
      <c r="AD682" s="924"/>
      <c r="AE682" s="924"/>
      <c r="AF682" s="54"/>
      <c r="AH682" s="373"/>
      <c r="AI682" s="558"/>
      <c r="AJ682" s="557"/>
      <c r="AK682" s="558"/>
      <c r="AL682" s="558"/>
      <c r="AM682" s="371"/>
      <c r="AN682" s="371"/>
      <c r="AO682" s="371"/>
      <c r="AP682" s="371"/>
    </row>
    <row r="683" spans="1:44" ht="8.25" customHeight="1" x14ac:dyDescent="0.2">
      <c r="A683" s="562"/>
      <c r="B683" s="335"/>
      <c r="AH683" s="373"/>
      <c r="AI683" s="558"/>
      <c r="AJ683" s="557"/>
      <c r="AK683" s="558"/>
      <c r="AL683" s="558"/>
      <c r="AM683" s="371"/>
      <c r="AN683" s="371"/>
      <c r="AO683" s="371"/>
      <c r="AP683" s="371"/>
    </row>
    <row r="684" spans="1:44" ht="12.75" customHeight="1" x14ac:dyDescent="0.2">
      <c r="A684" s="562"/>
      <c r="B684" s="335"/>
      <c r="C684" s="12" t="s">
        <v>167</v>
      </c>
      <c r="E684" s="12" t="s">
        <v>21</v>
      </c>
      <c r="AH684" s="373"/>
      <c r="AI684" s="558"/>
      <c r="AJ684" s="557"/>
      <c r="AK684" s="558"/>
      <c r="AL684" s="558"/>
      <c r="AM684" s="371"/>
      <c r="AN684" s="371"/>
      <c r="AO684" s="371"/>
      <c r="AP684" s="371"/>
    </row>
    <row r="685" spans="1:44" ht="3" customHeight="1" x14ac:dyDescent="0.2">
      <c r="A685" s="562"/>
      <c r="B685" s="335"/>
      <c r="C685" s="12"/>
      <c r="E685" s="12"/>
      <c r="M685" s="1089"/>
      <c r="N685" s="1089"/>
      <c r="O685" s="1089"/>
      <c r="P685" s="145"/>
      <c r="AH685" s="373"/>
      <c r="AI685" s="558"/>
      <c r="AJ685" s="557"/>
      <c r="AK685" s="558"/>
      <c r="AL685" s="558"/>
      <c r="AM685" s="371"/>
      <c r="AN685" s="371"/>
      <c r="AO685" s="371"/>
      <c r="AP685" s="371"/>
    </row>
    <row r="686" spans="1:44" ht="12.75" customHeight="1" x14ac:dyDescent="0.2">
      <c r="A686" s="562">
        <f>IF(H637="Raw material chemicals as additives/processing aids",1,0)</f>
        <v>0</v>
      </c>
      <c r="B686" s="335"/>
      <c r="I686" s="877" t="s">
        <v>574</v>
      </c>
      <c r="J686" s="878"/>
      <c r="K686" s="878"/>
      <c r="L686" s="879"/>
      <c r="M686" s="634"/>
      <c r="N686" s="635"/>
      <c r="O686" s="635"/>
      <c r="P686" s="636"/>
      <c r="T686" s="1105" t="s">
        <v>1085</v>
      </c>
      <c r="U686" s="1106"/>
      <c r="V686" s="1106"/>
      <c r="W686" s="1106"/>
      <c r="X686" s="1106"/>
      <c r="Y686" s="1106"/>
      <c r="Z686" s="1106"/>
      <c r="AA686" s="1107"/>
      <c r="AB686" s="1096" t="str">
        <f>IF(COUNT(M686:M687)+COUNT(AM686:AN687)=6,SUM((100*M686)+(100*M687)+AL651+AL653+AL659+AL661),"N/A")</f>
        <v>N/A</v>
      </c>
      <c r="AC686" s="1097"/>
      <c r="AD686" s="1098"/>
      <c r="AH686" s="373"/>
      <c r="AI686" s="558"/>
      <c r="AJ686" s="557"/>
      <c r="AK686" s="556"/>
      <c r="AL686" s="558"/>
      <c r="AM686" s="371" t="str">
        <f>IF(AL651&gt;0, AL651,"")</f>
        <v/>
      </c>
      <c r="AN686" s="371" t="str">
        <f>IF(AL661+AL659&gt;0,(AL661+AL659),"")</f>
        <v/>
      </c>
      <c r="AO686" s="371"/>
      <c r="AP686" s="371"/>
    </row>
    <row r="687" spans="1:44" ht="12.75" customHeight="1" x14ac:dyDescent="0.2">
      <c r="A687" s="562"/>
      <c r="B687" s="335"/>
      <c r="I687" s="877" t="s">
        <v>573</v>
      </c>
      <c r="J687" s="878"/>
      <c r="K687" s="878"/>
      <c r="L687" s="879"/>
      <c r="M687" s="634"/>
      <c r="N687" s="635"/>
      <c r="O687" s="635"/>
      <c r="P687" s="636"/>
      <c r="T687" s="632" t="s">
        <v>1086</v>
      </c>
      <c r="U687" s="633"/>
      <c r="V687" s="633"/>
      <c r="W687" s="633"/>
      <c r="X687" s="633"/>
      <c r="Y687" s="633"/>
      <c r="Z687" s="633"/>
      <c r="AA687" s="157" t="str">
        <f>B649</f>
        <v/>
      </c>
      <c r="AB687" s="1099"/>
      <c r="AC687" s="1100"/>
      <c r="AD687" s="1101"/>
      <c r="AH687" s="373"/>
      <c r="AI687" s="558"/>
      <c r="AJ687" s="557"/>
      <c r="AK687" s="558"/>
      <c r="AL687" s="558"/>
      <c r="AM687" s="371">
        <f>IF(AL653&gt;=0,AL653,"")</f>
        <v>0</v>
      </c>
      <c r="AN687" s="371">
        <f>IF(AL661&gt;=0,AL661,"")</f>
        <v>0</v>
      </c>
      <c r="AO687" s="371"/>
      <c r="AP687" s="371"/>
    </row>
    <row r="688" spans="1:44" ht="6.75" customHeight="1" x14ac:dyDescent="0.2">
      <c r="A688" s="562"/>
      <c r="B688" s="335"/>
      <c r="AH688" s="373"/>
      <c r="AI688" s="558"/>
      <c r="AJ688" s="557"/>
      <c r="AK688" s="558"/>
      <c r="AL688" s="558"/>
      <c r="AM688" s="371"/>
      <c r="AN688" s="371"/>
      <c r="AO688" s="371"/>
      <c r="AP688" s="371"/>
    </row>
    <row r="689" spans="1:68" ht="15" customHeight="1" thickBot="1" x14ac:dyDescent="0.25">
      <c r="C689" s="27" t="s">
        <v>242</v>
      </c>
      <c r="D689" s="27"/>
      <c r="E689" s="27"/>
      <c r="F689" s="27"/>
      <c r="G689" s="27"/>
      <c r="H689" s="27"/>
      <c r="I689" s="27"/>
      <c r="J689" s="27"/>
      <c r="K689" s="27"/>
      <c r="L689" s="27"/>
      <c r="M689" s="27"/>
      <c r="N689" s="27"/>
      <c r="O689" s="27"/>
      <c r="P689" s="27"/>
      <c r="AH689" s="373"/>
      <c r="AI689" s="558"/>
      <c r="AJ689" s="557"/>
      <c r="AK689" s="558"/>
      <c r="AL689" s="558"/>
      <c r="AM689" s="371"/>
    </row>
    <row r="690" spans="1:68" ht="14.25" customHeight="1" thickBot="1" x14ac:dyDescent="0.25">
      <c r="A690" s="562"/>
      <c r="C690" s="165"/>
      <c r="D690" s="631" t="s">
        <v>57</v>
      </c>
      <c r="E690" s="631"/>
      <c r="F690" s="631"/>
      <c r="G690" s="631"/>
      <c r="H690" s="631"/>
      <c r="I690" s="631"/>
      <c r="J690" s="631"/>
      <c r="K690" s="631"/>
      <c r="L690" s="165"/>
      <c r="M690" s="631" t="s">
        <v>58</v>
      </c>
      <c r="N690" s="631"/>
      <c r="O690" s="631"/>
      <c r="P690" s="631"/>
      <c r="Q690" s="631"/>
      <c r="R690" s="631"/>
      <c r="S690" s="631"/>
      <c r="T690" s="631"/>
      <c r="U690" s="165"/>
      <c r="V690" s="1110" t="s">
        <v>59</v>
      </c>
      <c r="W690" s="1111"/>
      <c r="X690" s="1111"/>
      <c r="Y690" s="1111"/>
      <c r="Z690" s="1111"/>
      <c r="AA690" s="85"/>
      <c r="AB690" s="165"/>
      <c r="AC690" s="1108" t="s">
        <v>60</v>
      </c>
      <c r="AD690" s="1109"/>
      <c r="AE690" s="1109"/>
      <c r="AF690" s="84"/>
      <c r="AG690" s="21"/>
      <c r="AH690" s="458"/>
      <c r="AI690" s="558"/>
      <c r="AJ690" s="557">
        <f>IF(COUNTIF(C690:AB690,"X")&gt;0,1,0)</f>
        <v>0</v>
      </c>
      <c r="AK690" s="556">
        <f>IF(AF125="X", IF(AJ690=0,1,2),0)</f>
        <v>0</v>
      </c>
      <c r="AL690" s="558"/>
      <c r="AM690" s="371"/>
    </row>
    <row r="691" spans="1:68" ht="12.75" customHeight="1" x14ac:dyDescent="0.2">
      <c r="D691" s="631"/>
      <c r="E691" s="631"/>
      <c r="F691" s="631"/>
      <c r="G691" s="631"/>
      <c r="H691" s="631"/>
      <c r="I691" s="631"/>
      <c r="J691" s="631"/>
      <c r="K691" s="631"/>
      <c r="M691" s="631"/>
      <c r="N691" s="631"/>
      <c r="O691" s="631"/>
      <c r="P691" s="631"/>
      <c r="Q691" s="631"/>
      <c r="R691" s="631"/>
      <c r="S691" s="631"/>
      <c r="T691" s="631"/>
      <c r="V691" s="790"/>
      <c r="W691" s="791"/>
      <c r="X691" s="791"/>
      <c r="Y691" s="791"/>
      <c r="Z691" s="792"/>
      <c r="AH691" s="222"/>
      <c r="AI691" s="558"/>
      <c r="AJ691" s="557"/>
      <c r="AK691" s="558"/>
      <c r="AL691" s="558"/>
      <c r="AM691" s="371"/>
    </row>
    <row r="692" spans="1:68" ht="18.75" customHeight="1" thickBot="1" x14ac:dyDescent="0.25">
      <c r="C692" s="27" t="s">
        <v>243</v>
      </c>
      <c r="D692" s="27"/>
      <c r="E692" s="27"/>
      <c r="F692" s="27"/>
      <c r="G692" s="27"/>
      <c r="H692" s="27"/>
      <c r="I692" s="27"/>
      <c r="J692" s="27"/>
      <c r="K692" s="27"/>
      <c r="L692" s="27"/>
      <c r="M692" s="27"/>
      <c r="N692" s="27"/>
      <c r="R692" s="21"/>
      <c r="S692" s="21"/>
      <c r="AH692" s="253" t="s">
        <v>683</v>
      </c>
      <c r="AI692" s="558"/>
      <c r="AJ692" s="557"/>
      <c r="AK692" s="558"/>
      <c r="AL692" s="558"/>
      <c r="AM692" s="371"/>
    </row>
    <row r="693" spans="1:68" ht="12.75" customHeight="1" thickBot="1" x14ac:dyDescent="0.25">
      <c r="A693" s="562"/>
      <c r="C693" s="21"/>
      <c r="D693" s="21"/>
      <c r="E693" s="21"/>
      <c r="F693" s="85"/>
      <c r="G693" s="85"/>
      <c r="H693" s="85"/>
      <c r="I693" s="85"/>
      <c r="J693" s="85"/>
      <c r="K693" s="85"/>
      <c r="L693" s="85"/>
      <c r="M693" s="85"/>
      <c r="N693" s="85"/>
      <c r="O693" s="121" t="s">
        <v>61</v>
      </c>
      <c r="P693" s="165"/>
      <c r="R693" s="21"/>
      <c r="S693" s="21"/>
      <c r="T693" s="85"/>
      <c r="U693" s="85"/>
      <c r="V693" s="85"/>
      <c r="W693" s="85"/>
      <c r="X693" s="85"/>
      <c r="Y693" s="85"/>
      <c r="Z693" s="121" t="s">
        <v>62</v>
      </c>
      <c r="AA693" s="165"/>
      <c r="AB693" s="85"/>
      <c r="AH693" s="222"/>
      <c r="AI693" s="558"/>
      <c r="AJ693" s="557">
        <f>IF(P693="X",IF(Q694&gt;0,1,0),IF(AA693="X",IF(COUNTA(D697)&gt;0,1,0),0))</f>
        <v>0</v>
      </c>
      <c r="AK693" s="556">
        <f>IF(AF125="X", IF(AJ693=0,1,2),0)</f>
        <v>0</v>
      </c>
      <c r="AL693" s="558"/>
      <c r="AM693" s="371"/>
    </row>
    <row r="694" spans="1:68" ht="14.25" customHeight="1" x14ac:dyDescent="0.2">
      <c r="A694" s="579"/>
      <c r="C694" s="495" t="s">
        <v>880</v>
      </c>
      <c r="D694" s="120"/>
      <c r="E694" s="120"/>
      <c r="F694" s="120"/>
      <c r="G694" s="120"/>
      <c r="H694" s="120"/>
      <c r="I694" s="120"/>
      <c r="J694" s="120"/>
      <c r="K694" s="120"/>
      <c r="L694" s="120"/>
      <c r="M694" s="120"/>
      <c r="N694" s="120"/>
      <c r="O694" s="120"/>
      <c r="P694" s="120"/>
      <c r="Q694" s="1102"/>
      <c r="R694" s="1103"/>
      <c r="S694" s="1103"/>
      <c r="T694" s="1103"/>
      <c r="U694" s="1103"/>
      <c r="V694" s="1103"/>
      <c r="W694" s="1104"/>
      <c r="X694" s="114"/>
      <c r="Y694" s="114"/>
      <c r="Z694" s="120"/>
      <c r="AA694" s="120"/>
      <c r="AB694" s="120"/>
      <c r="AC694" s="120"/>
      <c r="AD694" s="120"/>
      <c r="AE694" s="120"/>
      <c r="AH694" s="222"/>
      <c r="AI694" s="558"/>
      <c r="AJ694" s="557"/>
      <c r="AK694" s="558"/>
      <c r="AL694" s="558"/>
      <c r="AM694" s="371"/>
    </row>
    <row r="695" spans="1:68" ht="1.9" customHeight="1" x14ac:dyDescent="0.2">
      <c r="A695" s="579"/>
      <c r="C695" s="495"/>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14"/>
      <c r="Z695" s="120"/>
      <c r="AA695" s="120"/>
      <c r="AB695" s="120"/>
      <c r="AC695" s="120"/>
      <c r="AD695" s="120"/>
      <c r="AE695" s="120"/>
      <c r="AH695" s="222"/>
      <c r="AI695" s="558"/>
      <c r="AJ695" s="557"/>
      <c r="AK695" s="558"/>
      <c r="AL695" s="558"/>
      <c r="AM695" s="371"/>
    </row>
    <row r="696" spans="1:68" ht="12" customHeight="1" x14ac:dyDescent="0.2">
      <c r="C696" s="1005" t="s">
        <v>63</v>
      </c>
      <c r="D696" s="1005"/>
      <c r="E696" s="1005"/>
      <c r="F696" s="1005"/>
      <c r="G696" s="1005"/>
      <c r="H696" s="1005"/>
      <c r="I696" s="1005"/>
      <c r="J696" s="1005"/>
      <c r="K696" s="1005"/>
      <c r="L696" s="1005"/>
      <c r="M696" s="1005"/>
      <c r="N696" s="1005"/>
      <c r="O696" s="1005"/>
      <c r="P696" s="1005"/>
      <c r="Q696" s="1005"/>
      <c r="R696" s="1005"/>
      <c r="S696" s="1005"/>
      <c r="T696" s="1005"/>
      <c r="U696" s="1005"/>
      <c r="V696" s="1005"/>
      <c r="W696" s="1005"/>
      <c r="X696" s="1005"/>
      <c r="Y696" s="1005"/>
      <c r="Z696" s="1005"/>
      <c r="AA696" s="1005"/>
      <c r="AB696" s="1005"/>
      <c r="AC696" s="1005"/>
      <c r="AD696" s="1005"/>
      <c r="AE696" s="1005"/>
      <c r="AF696" s="1005"/>
      <c r="AG696" s="1005"/>
      <c r="AH696" s="222"/>
      <c r="AI696" s="596"/>
      <c r="AJ696" s="557"/>
      <c r="AK696" s="558"/>
      <c r="AL696" s="558"/>
      <c r="AM696" s="371"/>
    </row>
    <row r="697" spans="1:68" ht="25.5" customHeight="1" x14ac:dyDescent="0.2">
      <c r="D697" s="1463"/>
      <c r="E697" s="1464"/>
      <c r="F697" s="1464"/>
      <c r="G697" s="1464"/>
      <c r="H697" s="1464"/>
      <c r="I697" s="1464"/>
      <c r="J697" s="1464"/>
      <c r="K697" s="1464"/>
      <c r="L697" s="1464"/>
      <c r="M697" s="1464"/>
      <c r="N697" s="1464"/>
      <c r="O697" s="1464"/>
      <c r="P697" s="1464"/>
      <c r="Q697" s="1464"/>
      <c r="R697" s="1464"/>
      <c r="S697" s="1464"/>
      <c r="T697" s="1464"/>
      <c r="U697" s="1464"/>
      <c r="V697" s="1464"/>
      <c r="W697" s="1464"/>
      <c r="X697" s="1464"/>
      <c r="Y697" s="1464"/>
      <c r="Z697" s="1464"/>
      <c r="AA697" s="1464"/>
      <c r="AB697" s="1464"/>
      <c r="AC697" s="1465"/>
      <c r="AD697" s="327"/>
      <c r="AH697" s="496"/>
      <c r="AI697" s="558"/>
      <c r="AJ697" s="558"/>
      <c r="AK697" s="558"/>
      <c r="AL697" s="615"/>
      <c r="AM697" s="397"/>
      <c r="AN697" s="397"/>
      <c r="AO697" s="397"/>
      <c r="AP697" s="397"/>
      <c r="AQ697" s="397"/>
      <c r="AR697" s="397"/>
      <c r="AS697" s="397"/>
      <c r="AT697" s="397"/>
      <c r="AU697" s="397"/>
      <c r="AV697" s="397"/>
      <c r="AW697" s="397"/>
      <c r="AX697" s="397"/>
      <c r="AY697" s="397"/>
      <c r="AZ697" s="397"/>
      <c r="BA697" s="397"/>
      <c r="BB697" s="397"/>
      <c r="BC697" s="397"/>
      <c r="BD697" s="397"/>
      <c r="BE697" s="397"/>
      <c r="BF697" s="397"/>
      <c r="BG697" s="397"/>
      <c r="BH697" s="397"/>
      <c r="BI697" s="397"/>
      <c r="BJ697" s="397"/>
    </row>
    <row r="698" spans="1:68" ht="3" customHeight="1" x14ac:dyDescent="0.2">
      <c r="C698" s="497"/>
      <c r="D698" s="497"/>
      <c r="E698" s="497"/>
      <c r="F698" s="497"/>
      <c r="G698" s="497"/>
      <c r="H698" s="497"/>
      <c r="I698" s="497"/>
      <c r="J698" s="497"/>
      <c r="K698" s="497"/>
      <c r="L698" s="497"/>
      <c r="M698" s="497"/>
      <c r="N698" s="497"/>
      <c r="O698" s="497"/>
      <c r="P698" s="497"/>
      <c r="Q698" s="497"/>
      <c r="R698" s="497"/>
      <c r="S698" s="497"/>
      <c r="T698" s="497"/>
      <c r="U698" s="497"/>
      <c r="V698" s="497"/>
      <c r="W698" s="497"/>
      <c r="X698" s="497"/>
      <c r="Y698" s="497"/>
      <c r="Z698" s="497"/>
      <c r="AA698" s="497"/>
      <c r="AB698" s="497"/>
      <c r="AC698" s="497"/>
      <c r="AD698" s="497"/>
      <c r="AE698" s="497"/>
      <c r="AF698" s="497"/>
      <c r="AG698" s="497"/>
      <c r="AH698" s="104"/>
      <c r="AI698" s="616"/>
      <c r="AJ698" s="616"/>
      <c r="AK698" s="617"/>
      <c r="AL698" s="617"/>
      <c r="AM698" s="398"/>
      <c r="AN698" s="398"/>
      <c r="AO698" s="398"/>
      <c r="AP698" s="398"/>
      <c r="AQ698" s="398"/>
      <c r="AR698" s="398"/>
      <c r="AS698" s="398"/>
      <c r="AT698" s="398"/>
      <c r="AU698" s="398"/>
      <c r="AV698" s="398"/>
      <c r="AW698" s="398"/>
      <c r="AX698" s="398"/>
      <c r="AY698" s="398"/>
      <c r="AZ698" s="398"/>
      <c r="BA698" s="398"/>
      <c r="BB698" s="398"/>
      <c r="BC698" s="398"/>
      <c r="BD698" s="398"/>
      <c r="BE698" s="398"/>
      <c r="BF698" s="398"/>
      <c r="BG698" s="398"/>
      <c r="BH698" s="398"/>
      <c r="BI698" s="398"/>
      <c r="BJ698" s="398"/>
    </row>
    <row r="699" spans="1:68" ht="15" customHeight="1" x14ac:dyDescent="0.2">
      <c r="C699" s="10" t="s">
        <v>244</v>
      </c>
      <c r="AH699" s="253"/>
      <c r="AI699" s="558"/>
      <c r="AJ699" s="557"/>
      <c r="AK699" s="558"/>
      <c r="AL699" s="558"/>
      <c r="AM699" s="371"/>
    </row>
    <row r="700" spans="1:68" s="4" customFormat="1" ht="13.5" customHeight="1" x14ac:dyDescent="0.2">
      <c r="A700" s="560"/>
      <c r="B700" s="334"/>
      <c r="C700" s="33"/>
      <c r="D700" s="42"/>
      <c r="E700" s="42" t="s">
        <v>566</v>
      </c>
      <c r="F700" s="86"/>
      <c r="G700" s="42"/>
      <c r="H700" s="86"/>
      <c r="I700" s="86"/>
      <c r="J700" s="86"/>
      <c r="K700" s="86"/>
      <c r="L700" s="86"/>
      <c r="M700" s="86"/>
      <c r="N700" s="86"/>
      <c r="O700" s="86"/>
      <c r="P700" s="86"/>
      <c r="Q700" s="86"/>
      <c r="R700" s="86"/>
      <c r="S700" s="86"/>
      <c r="T700" s="86"/>
      <c r="U700" s="86"/>
      <c r="V700" s="86"/>
      <c r="W700" s="86"/>
      <c r="X700" s="86"/>
      <c r="Y700" s="86"/>
      <c r="Z700" s="86"/>
      <c r="AA700" s="33"/>
      <c r="AB700" s="33"/>
      <c r="AC700" s="33"/>
      <c r="AD700" s="33"/>
      <c r="AE700" s="33"/>
      <c r="AF700" s="33"/>
      <c r="AG700" s="33"/>
      <c r="AH700" s="456"/>
      <c r="AI700" s="618"/>
      <c r="AJ700" s="586">
        <f>IF(SUM(AI702:AI717)=10,1,0)</f>
        <v>0</v>
      </c>
      <c r="AK700" s="558"/>
      <c r="AL700" s="558"/>
      <c r="AM700" s="370"/>
      <c r="AN700" s="372"/>
      <c r="AO700" s="372"/>
      <c r="AP700" s="372"/>
      <c r="AQ700" s="372"/>
      <c r="AR700" s="372"/>
      <c r="AS700" s="372"/>
      <c r="AT700" s="372"/>
      <c r="AU700" s="372"/>
      <c r="AV700" s="372"/>
      <c r="AW700" s="372"/>
      <c r="AX700" s="372"/>
      <c r="AY700" s="372"/>
      <c r="AZ700" s="372"/>
      <c r="BA700" s="372"/>
      <c r="BB700" s="372"/>
      <c r="BC700" s="372"/>
      <c r="BD700" s="372"/>
      <c r="BE700" s="372"/>
      <c r="BF700" s="372"/>
      <c r="BG700" s="372"/>
      <c r="BH700" s="372"/>
      <c r="BI700" s="372"/>
      <c r="BJ700" s="372"/>
      <c r="BK700" s="372"/>
      <c r="BL700" s="372"/>
      <c r="BM700" s="372"/>
      <c r="BN700" s="372"/>
      <c r="BO700" s="372"/>
      <c r="BP700" s="372"/>
    </row>
    <row r="701" spans="1:68" ht="26.25" customHeight="1" x14ac:dyDescent="0.2">
      <c r="B701" s="352"/>
      <c r="C701" s="498"/>
      <c r="D701" s="498"/>
      <c r="E701" s="498"/>
      <c r="F701" s="55"/>
      <c r="G701" s="1462" t="s">
        <v>500</v>
      </c>
      <c r="H701" s="1462"/>
      <c r="I701" s="1462"/>
      <c r="J701" s="1462"/>
      <c r="K701" s="1462"/>
      <c r="L701" s="1462"/>
      <c r="M701" s="1462"/>
      <c r="N701" s="1462"/>
      <c r="O701" s="1462"/>
      <c r="P701" s="642" t="s">
        <v>343</v>
      </c>
      <c r="Q701" s="643"/>
      <c r="R701" s="643"/>
      <c r="S701" s="643"/>
      <c r="T701" s="643"/>
      <c r="U701" s="643"/>
      <c r="V701" s="643"/>
      <c r="W701" s="643"/>
      <c r="X701" s="643"/>
      <c r="Y701" s="643"/>
      <c r="Z701" s="644"/>
      <c r="AA701" s="830" t="s">
        <v>563</v>
      </c>
      <c r="AB701" s="831"/>
      <c r="AC701" s="831"/>
      <c r="AD701" s="831"/>
      <c r="AE701" s="831"/>
      <c r="AF701" s="832"/>
      <c r="AG701" s="2"/>
      <c r="AH701" s="222"/>
      <c r="AI701" s="558"/>
      <c r="AJ701" s="586"/>
      <c r="AK701" s="558"/>
      <c r="AL701" s="558"/>
    </row>
    <row r="702" spans="1:68" ht="15" customHeight="1" x14ac:dyDescent="0.2">
      <c r="B702" s="352"/>
      <c r="C702" s="1466" t="s">
        <v>1112</v>
      </c>
      <c r="D702" s="1467"/>
      <c r="E702" s="1467"/>
      <c r="F702" s="1468"/>
      <c r="G702" s="799" t="s">
        <v>650</v>
      </c>
      <c r="H702" s="800"/>
      <c r="I702" s="800"/>
      <c r="J702" s="800"/>
      <c r="K702" s="800"/>
      <c r="L702" s="800"/>
      <c r="M702" s="801"/>
      <c r="N702" s="816"/>
      <c r="O702" s="816"/>
      <c r="P702" s="802"/>
      <c r="Q702" s="803"/>
      <c r="R702" s="803"/>
      <c r="S702" s="803"/>
      <c r="T702" s="803"/>
      <c r="U702" s="803"/>
      <c r="V702" s="803"/>
      <c r="W702" s="803"/>
      <c r="X702" s="803"/>
      <c r="Y702" s="803"/>
      <c r="Z702" s="804"/>
      <c r="AA702" s="745"/>
      <c r="AB702" s="746"/>
      <c r="AC702" s="746"/>
      <c r="AD702" s="746"/>
      <c r="AE702" s="746"/>
      <c r="AF702" s="770"/>
      <c r="AG702" s="2"/>
      <c r="AH702" s="373"/>
      <c r="AI702" s="597">
        <f>IF(N702&gt;"a",IF(N702="Yes", IF(P702&gt;"1", IF(AA702&gt;"a",1,0),0),1),0)</f>
        <v>0</v>
      </c>
      <c r="AJ702" s="598"/>
      <c r="AK702" s="599">
        <f>IF(AF125="X", IF(AI702=0,1,2),0)</f>
        <v>0</v>
      </c>
      <c r="AL702" s="556"/>
    </row>
    <row r="703" spans="1:68" ht="15" customHeight="1" x14ac:dyDescent="0.2">
      <c r="B703" s="352"/>
      <c r="C703" s="1467"/>
      <c r="D703" s="1467"/>
      <c r="E703" s="1467"/>
      <c r="F703" s="1468"/>
      <c r="G703" s="628" t="s">
        <v>651</v>
      </c>
      <c r="H703" s="629"/>
      <c r="I703" s="629"/>
      <c r="J703" s="629"/>
      <c r="K703" s="629"/>
      <c r="L703" s="629"/>
      <c r="M703" s="630"/>
      <c r="N703" s="816"/>
      <c r="O703" s="816"/>
      <c r="P703" s="1709"/>
      <c r="Q703" s="1710"/>
      <c r="R703" s="1710"/>
      <c r="S703" s="1710"/>
      <c r="T703" s="1710"/>
      <c r="U703" s="1710"/>
      <c r="V703" s="1710"/>
      <c r="W703" s="1710"/>
      <c r="X703" s="1710"/>
      <c r="Y703" s="1710"/>
      <c r="Z703" s="1711"/>
      <c r="AA703" s="745"/>
      <c r="AB703" s="746"/>
      <c r="AC703" s="746"/>
      <c r="AD703" s="746"/>
      <c r="AE703" s="746"/>
      <c r="AF703" s="770"/>
      <c r="AG703" s="2"/>
      <c r="AH703" s="373"/>
      <c r="AI703" s="597">
        <f>IF(N703&gt;"a",IF(N703="Yes", IF(P703&gt;"1", IF(AA703&gt;"a",1,0),0),1),0)</f>
        <v>0</v>
      </c>
      <c r="AJ703" s="598"/>
      <c r="AK703" s="599">
        <f>IF(AF125="X", IF(AI703=0,1,2),0)</f>
        <v>0</v>
      </c>
      <c r="AL703" s="556"/>
    </row>
    <row r="704" spans="1:68" ht="13.5" customHeight="1" x14ac:dyDescent="0.2">
      <c r="B704" s="352"/>
      <c r="C704" s="637" t="s">
        <v>542</v>
      </c>
      <c r="D704" s="637"/>
      <c r="E704" s="637"/>
      <c r="F704" s="638"/>
      <c r="G704" s="628" t="s">
        <v>629</v>
      </c>
      <c r="H704" s="629"/>
      <c r="I704" s="629"/>
      <c r="J704" s="629"/>
      <c r="K704" s="629"/>
      <c r="L704" s="629"/>
      <c r="M704" s="630"/>
      <c r="N704" s="816"/>
      <c r="O704" s="816"/>
      <c r="P704" s="1709"/>
      <c r="Q704" s="1710"/>
      <c r="R704" s="1710"/>
      <c r="S704" s="1710"/>
      <c r="T704" s="1710"/>
      <c r="U704" s="1710"/>
      <c r="V704" s="1710"/>
      <c r="W704" s="1710"/>
      <c r="X704" s="1710"/>
      <c r="Y704" s="1710"/>
      <c r="Z704" s="1711"/>
      <c r="AA704" s="745"/>
      <c r="AB704" s="746"/>
      <c r="AC704" s="746"/>
      <c r="AD704" s="746"/>
      <c r="AE704" s="746"/>
      <c r="AF704" s="770"/>
      <c r="AG704" s="2"/>
      <c r="AH704" s="373"/>
      <c r="AI704" s="597">
        <f>IF(N704&gt;"a",IF(N704="Yes", IF(P704&gt;"1", IF(AA704&gt;"a",1,0),0),1),0)</f>
        <v>0</v>
      </c>
      <c r="AJ704" s="598"/>
      <c r="AK704" s="599">
        <f>IF(AF125="X", IF(AI704=0,IF(N704="Yes",2,1),2),0)</f>
        <v>0</v>
      </c>
      <c r="AL704" s="556"/>
    </row>
    <row r="705" spans="1:68" ht="12.75" customHeight="1" x14ac:dyDescent="0.2">
      <c r="B705" s="352"/>
      <c r="C705" s="637"/>
      <c r="D705" s="637"/>
      <c r="E705" s="637"/>
      <c r="F705" s="638"/>
      <c r="G705" s="628" t="s">
        <v>628</v>
      </c>
      <c r="H705" s="629"/>
      <c r="I705" s="629"/>
      <c r="J705" s="629"/>
      <c r="K705" s="629"/>
      <c r="L705" s="629"/>
      <c r="M705" s="630"/>
      <c r="N705" s="816"/>
      <c r="O705" s="816"/>
      <c r="P705" s="1709"/>
      <c r="Q705" s="1710"/>
      <c r="R705" s="1710"/>
      <c r="S705" s="1710"/>
      <c r="T705" s="1710"/>
      <c r="U705" s="1710"/>
      <c r="V705" s="1710"/>
      <c r="W705" s="1710"/>
      <c r="X705" s="1710"/>
      <c r="Y705" s="1710"/>
      <c r="Z705" s="1711"/>
      <c r="AA705" s="745"/>
      <c r="AB705" s="746"/>
      <c r="AC705" s="746"/>
      <c r="AD705" s="746"/>
      <c r="AE705" s="746"/>
      <c r="AF705" s="770"/>
      <c r="AG705" s="2"/>
      <c r="AH705" s="370"/>
      <c r="AI705" s="597">
        <f>IF(N705&gt;"a",IF(N705="Yes", IF(P705&gt;"1", IF(AA705&gt;"a",1,0),0),1),0)</f>
        <v>0</v>
      </c>
      <c r="AJ705" s="598"/>
      <c r="AK705" s="599">
        <f>IF(AF125="X", IF(AI705=0,IF(N705="Yes",2,1),2),0)</f>
        <v>0</v>
      </c>
      <c r="AL705" s="556"/>
    </row>
    <row r="706" spans="1:68" ht="15" customHeight="1" x14ac:dyDescent="0.2">
      <c r="A706" s="560">
        <f>IF(SUM(B706:B708)&gt;0,1,0)</f>
        <v>0</v>
      </c>
      <c r="B706" s="360">
        <f>IF(SUM(A557,A546,A336,A328,A490,A433, A434, A388,A394)&gt;=1,1,0)</f>
        <v>0</v>
      </c>
      <c r="C706" s="1841" t="s">
        <v>543</v>
      </c>
      <c r="D706" s="1841"/>
      <c r="E706" s="1841"/>
      <c r="F706" s="1841"/>
      <c r="G706" s="628" t="s">
        <v>630</v>
      </c>
      <c r="H706" s="629"/>
      <c r="I706" s="629"/>
      <c r="J706" s="629"/>
      <c r="K706" s="629"/>
      <c r="L706" s="629"/>
      <c r="M706" s="630"/>
      <c r="N706" s="816"/>
      <c r="O706" s="816"/>
      <c r="P706" s="1752"/>
      <c r="Q706" s="1753"/>
      <c r="R706" s="1753"/>
      <c r="S706" s="1753"/>
      <c r="T706" s="1753"/>
      <c r="U706" s="1753"/>
      <c r="V706" s="1753"/>
      <c r="W706" s="1753"/>
      <c r="X706" s="1753"/>
      <c r="Y706" s="1753"/>
      <c r="Z706" s="1754"/>
      <c r="AA706" s="745"/>
      <c r="AB706" s="746"/>
      <c r="AC706" s="746"/>
      <c r="AD706" s="746"/>
      <c r="AE706" s="746"/>
      <c r="AF706" s="770"/>
      <c r="AG706" s="2"/>
      <c r="AH706" s="373"/>
      <c r="AI706" s="597">
        <f>IF(B706=1, 1, IF(N706&gt;"a",IF(N706="Yes", IF(P706&gt;"1", IF(AA706&gt;"a",1,0),0),1),0))</f>
        <v>0</v>
      </c>
      <c r="AJ706" s="598"/>
      <c r="AK706" s="599">
        <f>IF(AF125="X", IF(AI706=0,1,2),0)</f>
        <v>0</v>
      </c>
      <c r="AL706" s="556"/>
    </row>
    <row r="707" spans="1:68" ht="15" customHeight="1" x14ac:dyDescent="0.2">
      <c r="B707" s="360">
        <f>IF(SUM(A557,A546,A336,A328,A490,A433, A434, A332,A388,A394,A391,A552)&gt;=1,1,0)</f>
        <v>0</v>
      </c>
      <c r="C707" s="1841"/>
      <c r="D707" s="1841"/>
      <c r="E707" s="1841"/>
      <c r="F707" s="1841"/>
      <c r="G707" s="628" t="s">
        <v>652</v>
      </c>
      <c r="H707" s="629"/>
      <c r="I707" s="629"/>
      <c r="J707" s="629"/>
      <c r="K707" s="629"/>
      <c r="L707" s="629"/>
      <c r="M707" s="630"/>
      <c r="N707" s="816"/>
      <c r="O707" s="816"/>
      <c r="P707" s="1709"/>
      <c r="Q707" s="1710"/>
      <c r="R707" s="1710"/>
      <c r="S707" s="1710"/>
      <c r="T707" s="1710"/>
      <c r="U707" s="1710"/>
      <c r="V707" s="1710"/>
      <c r="W707" s="1710"/>
      <c r="X707" s="1710"/>
      <c r="Y707" s="1710"/>
      <c r="Z707" s="1711"/>
      <c r="AA707" s="745"/>
      <c r="AB707" s="746"/>
      <c r="AC707" s="746"/>
      <c r="AD707" s="746"/>
      <c r="AE707" s="746"/>
      <c r="AF707" s="770"/>
      <c r="AG707" s="2"/>
      <c r="AH707" s="373"/>
      <c r="AI707" s="597">
        <f>IF(B707=1, 1,IF(N707&gt;"a",IF(N707="Yes", IF(P707&gt;"1", IF(AA707&gt;"a",1,0),0),1),0))</f>
        <v>0</v>
      </c>
      <c r="AJ707" s="598"/>
      <c r="AK707" s="599">
        <f>IF(AF125="X", IF(AI707=0,1,2),0)</f>
        <v>0</v>
      </c>
      <c r="AL707" s="556"/>
    </row>
    <row r="708" spans="1:68" ht="15" customHeight="1" x14ac:dyDescent="0.2">
      <c r="B708" s="360">
        <f>IF(SUM(A557,A552,A546,A542,A490,A433, A434, A336,A328,A391,A394,A388,A399,A344,A332,)&gt;=1,1,0)</f>
        <v>0</v>
      </c>
      <c r="C708" s="1841"/>
      <c r="D708" s="1841"/>
      <c r="E708" s="1841"/>
      <c r="F708" s="1841"/>
      <c r="G708" s="628" t="s">
        <v>386</v>
      </c>
      <c r="H708" s="629"/>
      <c r="I708" s="629"/>
      <c r="J708" s="629"/>
      <c r="K708" s="629"/>
      <c r="L708" s="629"/>
      <c r="M708" s="630"/>
      <c r="N708" s="816"/>
      <c r="O708" s="816"/>
      <c r="P708" s="1709"/>
      <c r="Q708" s="1710"/>
      <c r="R708" s="1710"/>
      <c r="S708" s="1710"/>
      <c r="T708" s="1710"/>
      <c r="U708" s="1710"/>
      <c r="V708" s="1710"/>
      <c r="W708" s="1710"/>
      <c r="X708" s="1710"/>
      <c r="Y708" s="1710"/>
      <c r="Z708" s="1711"/>
      <c r="AA708" s="745"/>
      <c r="AB708" s="746"/>
      <c r="AC708" s="746"/>
      <c r="AD708" s="746"/>
      <c r="AE708" s="746"/>
      <c r="AF708" s="770"/>
      <c r="AG708" s="499"/>
      <c r="AH708" s="373"/>
      <c r="AI708" s="597">
        <f>IF(B708=1, 1,IF(N708&gt;"a",IF(N708="Yes", IF(P708&gt;"1", IF(AA708&gt;"a",1,0),0),1),0))</f>
        <v>0</v>
      </c>
      <c r="AJ708" s="598"/>
      <c r="AK708" s="599">
        <f>IF(AF125="X", IF(AI708=0,1,2),0)</f>
        <v>0</v>
      </c>
      <c r="AL708" s="556"/>
    </row>
    <row r="709" spans="1:68" s="8" customFormat="1" ht="13.5" customHeight="1" x14ac:dyDescent="0.2">
      <c r="A709" s="580"/>
      <c r="B709" s="352">
        <f>COUNTIF(AA702:AA708, "Yes")</f>
        <v>0</v>
      </c>
      <c r="C709" s="500" t="str">
        <f>IF(B709&gt;=1, "A copy of relevant certificates must be provided as attachments to form", "")</f>
        <v/>
      </c>
      <c r="D709" s="500"/>
      <c r="E709" s="500"/>
      <c r="F709" s="500"/>
      <c r="G709" s="501"/>
      <c r="H709" s="502"/>
      <c r="I709" s="502"/>
      <c r="J709" s="502"/>
      <c r="K709" s="502"/>
      <c r="L709" s="502"/>
      <c r="M709" s="502"/>
      <c r="N709" s="499"/>
      <c r="O709" s="499"/>
      <c r="P709" s="499"/>
      <c r="Q709" s="499"/>
      <c r="R709" s="499"/>
      <c r="S709" s="499"/>
      <c r="T709" s="499"/>
      <c r="U709" s="499"/>
      <c r="V709" s="499"/>
      <c r="W709" s="499"/>
      <c r="X709" s="499"/>
      <c r="Y709" s="499"/>
      <c r="Z709" s="499"/>
      <c r="AA709" s="499"/>
      <c r="AB709" s="499"/>
      <c r="AC709" s="499"/>
      <c r="AD709" s="499"/>
      <c r="AE709" s="499"/>
      <c r="AF709" s="499"/>
      <c r="AG709" s="499"/>
      <c r="AH709" s="373"/>
      <c r="AI709" s="597"/>
      <c r="AJ709" s="598"/>
      <c r="AK709" s="599"/>
      <c r="AL709" s="599"/>
      <c r="AM709" s="386"/>
      <c r="AN709" s="386"/>
      <c r="AO709" s="386"/>
      <c r="AP709" s="386"/>
      <c r="AQ709" s="386"/>
      <c r="AR709" s="386"/>
      <c r="AS709" s="386"/>
      <c r="AT709" s="386"/>
      <c r="AU709" s="386"/>
      <c r="AV709" s="386"/>
      <c r="AW709" s="386"/>
      <c r="AX709" s="386"/>
      <c r="AY709" s="386"/>
      <c r="AZ709" s="386"/>
      <c r="BA709" s="386"/>
      <c r="BB709" s="386"/>
      <c r="BC709" s="386"/>
      <c r="BD709" s="386"/>
      <c r="BE709" s="386"/>
      <c r="BF709" s="386"/>
      <c r="BG709" s="386"/>
      <c r="BH709" s="386"/>
      <c r="BI709" s="386"/>
      <c r="BJ709" s="386"/>
      <c r="BK709" s="386"/>
      <c r="BL709" s="386"/>
      <c r="BM709" s="386"/>
      <c r="BN709" s="386"/>
      <c r="BO709" s="386"/>
      <c r="BP709" s="386"/>
    </row>
    <row r="710" spans="1:68" s="8" customFormat="1" ht="3" customHeight="1" x14ac:dyDescent="0.2">
      <c r="A710" s="580"/>
      <c r="B710" s="352"/>
      <c r="C710" s="498"/>
      <c r="D710" s="498"/>
      <c r="E710" s="498"/>
      <c r="F710" s="139"/>
      <c r="G710" s="139"/>
      <c r="H710" s="139"/>
      <c r="I710" s="139"/>
      <c r="J710" s="139"/>
      <c r="K710" s="139"/>
      <c r="L710" s="139"/>
      <c r="M710" s="139"/>
      <c r="N710" s="139"/>
      <c r="O710" s="139"/>
      <c r="P710" s="139"/>
      <c r="Q710" s="139"/>
      <c r="R710" s="139"/>
      <c r="S710" s="139"/>
      <c r="T710" s="139"/>
      <c r="U710" s="139"/>
      <c r="V710" s="139"/>
      <c r="W710" s="139"/>
      <c r="X710" s="139"/>
      <c r="Y710" s="139"/>
      <c r="Z710" s="139"/>
      <c r="AA710" s="139"/>
      <c r="AB710" s="139"/>
      <c r="AC710" s="139"/>
      <c r="AD710" s="139"/>
      <c r="AE710" s="139"/>
      <c r="AF710" s="139"/>
      <c r="AG710" s="87"/>
      <c r="AH710" s="373"/>
      <c r="AI710" s="597"/>
      <c r="AJ710" s="598"/>
      <c r="AK710" s="599"/>
      <c r="AL710" s="599"/>
      <c r="AM710" s="386"/>
      <c r="AN710" s="386"/>
      <c r="AO710" s="386"/>
      <c r="AP710" s="386"/>
      <c r="AQ710" s="386"/>
      <c r="AR710" s="386"/>
      <c r="AS710" s="386"/>
      <c r="AT710" s="386"/>
      <c r="AU710" s="386"/>
      <c r="AV710" s="386"/>
      <c r="AW710" s="386"/>
      <c r="AX710" s="386"/>
      <c r="AY710" s="386"/>
      <c r="AZ710" s="386"/>
      <c r="BA710" s="386"/>
      <c r="BB710" s="386"/>
      <c r="BC710" s="386"/>
      <c r="BD710" s="386"/>
      <c r="BE710" s="386"/>
      <c r="BF710" s="386"/>
      <c r="BG710" s="386"/>
      <c r="BH710" s="386"/>
      <c r="BI710" s="386"/>
      <c r="BJ710" s="386"/>
      <c r="BK710" s="386"/>
      <c r="BL710" s="386"/>
      <c r="BM710" s="386"/>
      <c r="BN710" s="386"/>
      <c r="BO710" s="386"/>
      <c r="BP710" s="386"/>
    </row>
    <row r="711" spans="1:68" ht="12.75" customHeight="1" x14ac:dyDescent="0.2">
      <c r="A711" s="580"/>
      <c r="B711" s="352"/>
      <c r="C711" s="498"/>
      <c r="D711" s="498"/>
      <c r="E711" s="498"/>
      <c r="F711" s="88"/>
      <c r="G711" s="1758" t="s">
        <v>557</v>
      </c>
      <c r="H711" s="1759"/>
      <c r="I711" s="1759"/>
      <c r="J711" s="1759"/>
      <c r="K711" s="1759"/>
      <c r="L711" s="1759"/>
      <c r="M711" s="1759"/>
      <c r="N711" s="1759"/>
      <c r="O711" s="1760"/>
      <c r="P711" s="1733" t="s">
        <v>396</v>
      </c>
      <c r="Q711" s="1734"/>
      <c r="R711" s="1734"/>
      <c r="S711" s="1734"/>
      <c r="T711" s="1734"/>
      <c r="U711" s="1734"/>
      <c r="V711" s="1734"/>
      <c r="W711" s="1734"/>
      <c r="X711" s="1734"/>
      <c r="Y711" s="1734"/>
      <c r="Z711" s="1735"/>
      <c r="AA711" s="1755" t="s">
        <v>562</v>
      </c>
      <c r="AB711" s="1756"/>
      <c r="AC711" s="1756"/>
      <c r="AD711" s="1756"/>
      <c r="AE711" s="1756"/>
      <c r="AF711" s="1757"/>
      <c r="AG711" s="87"/>
      <c r="AH711" s="373"/>
      <c r="AI711" s="597"/>
      <c r="AJ711" s="599"/>
      <c r="AK711" s="599"/>
      <c r="AL711" s="556"/>
    </row>
    <row r="712" spans="1:68" ht="12.75" customHeight="1" x14ac:dyDescent="0.2">
      <c r="A712" s="580"/>
      <c r="B712" s="352"/>
      <c r="C712" s="498"/>
      <c r="D712" s="498"/>
      <c r="E712" s="498"/>
      <c r="F712" s="88"/>
      <c r="G712" s="187"/>
      <c r="H712" s="188"/>
      <c r="I712" s="188"/>
      <c r="J712" s="188"/>
      <c r="K712" s="188"/>
      <c r="L712" s="188"/>
      <c r="M712" s="188"/>
      <c r="N712" s="189"/>
      <c r="O712" s="190" t="s">
        <v>556</v>
      </c>
      <c r="P712" s="1736"/>
      <c r="Q712" s="1737"/>
      <c r="R712" s="1737"/>
      <c r="S712" s="1737"/>
      <c r="T712" s="1737"/>
      <c r="U712" s="1737"/>
      <c r="V712" s="1737"/>
      <c r="W712" s="1737"/>
      <c r="X712" s="1737"/>
      <c r="Y712" s="1737"/>
      <c r="Z712" s="1738"/>
      <c r="AA712" s="1555" t="s">
        <v>561</v>
      </c>
      <c r="AB712" s="1556"/>
      <c r="AC712" s="1556"/>
      <c r="AD712" s="1556"/>
      <c r="AE712" s="1556"/>
      <c r="AF712" s="1557"/>
      <c r="AG712" s="87"/>
      <c r="AH712" s="373"/>
      <c r="AI712" s="597"/>
      <c r="AJ712" s="599"/>
      <c r="AK712" s="599"/>
      <c r="AL712" s="556"/>
    </row>
    <row r="713" spans="1:68" ht="15" customHeight="1" x14ac:dyDescent="0.2">
      <c r="A713" s="580"/>
      <c r="B713" s="352"/>
      <c r="C713" s="498"/>
      <c r="D713" s="498"/>
      <c r="E713" s="498"/>
      <c r="F713" s="88"/>
      <c r="G713" s="1712" t="s">
        <v>544</v>
      </c>
      <c r="H713" s="1713"/>
      <c r="I713" s="1713"/>
      <c r="J713" s="1713"/>
      <c r="K713" s="1713"/>
      <c r="L713" s="1713"/>
      <c r="M713" s="1714"/>
      <c r="N713" s="1720"/>
      <c r="O713" s="1721"/>
      <c r="P713" s="802"/>
      <c r="Q713" s="803"/>
      <c r="R713" s="803"/>
      <c r="S713" s="803"/>
      <c r="T713" s="803"/>
      <c r="U713" s="803"/>
      <c r="V713" s="803"/>
      <c r="W713" s="803"/>
      <c r="X713" s="803"/>
      <c r="Y713" s="803"/>
      <c r="Z713" s="804"/>
      <c r="AA713" s="1718"/>
      <c r="AB713" s="1433"/>
      <c r="AC713" s="1433"/>
      <c r="AD713" s="1433"/>
      <c r="AE713" s="1433"/>
      <c r="AF713" s="1719"/>
      <c r="AG713" s="2"/>
      <c r="AH713" s="373"/>
      <c r="AI713" s="597">
        <f>IF(N713&gt;"a",IF(N713="Yes", IF(P713&gt;"1", IF(AA713&gt;"a",1,0),0),1),0)</f>
        <v>0</v>
      </c>
      <c r="AK713" s="599">
        <f>IF(AF125="X", IF(AI713=0,1,2),0)</f>
        <v>0</v>
      </c>
      <c r="AL713" s="558"/>
      <c r="AM713" s="371"/>
    </row>
    <row r="714" spans="1:68" ht="15" customHeight="1" x14ac:dyDescent="0.2">
      <c r="A714" s="562"/>
      <c r="B714" s="361"/>
      <c r="C714" s="498"/>
      <c r="D714" s="498"/>
      <c r="E714" s="498"/>
      <c r="F714" s="88"/>
      <c r="G714" s="1715"/>
      <c r="H714" s="1716"/>
      <c r="I714" s="1716"/>
      <c r="J714" s="1716"/>
      <c r="K714" s="1716"/>
      <c r="L714" s="1716"/>
      <c r="M714" s="1717"/>
      <c r="N714" s="1722"/>
      <c r="O714" s="1723"/>
      <c r="P714" s="1709"/>
      <c r="Q714" s="1710"/>
      <c r="R714" s="1710"/>
      <c r="S714" s="1710"/>
      <c r="T714" s="1710"/>
      <c r="U714" s="1710"/>
      <c r="V714" s="1710"/>
      <c r="W714" s="1710"/>
      <c r="X714" s="1710"/>
      <c r="Y714" s="1710"/>
      <c r="Z714" s="1711"/>
      <c r="AA714" s="1718"/>
      <c r="AB714" s="1433"/>
      <c r="AC714" s="1433"/>
      <c r="AD714" s="1433"/>
      <c r="AE714" s="1433"/>
      <c r="AF714" s="1719"/>
      <c r="AG714" s="2"/>
      <c r="AH714" s="373"/>
      <c r="AI714" s="597"/>
      <c r="AJ714" s="598"/>
      <c r="AK714" s="597"/>
      <c r="AL714" s="558"/>
      <c r="AM714" s="371"/>
    </row>
    <row r="715" spans="1:68" ht="15" customHeight="1" x14ac:dyDescent="0.2">
      <c r="A715" s="562"/>
      <c r="B715" s="361"/>
      <c r="C715" s="498"/>
      <c r="D715" s="498"/>
      <c r="E715" s="498"/>
      <c r="F715" s="88"/>
      <c r="G715" s="1712" t="s">
        <v>545</v>
      </c>
      <c r="H715" s="1713"/>
      <c r="I715" s="1713"/>
      <c r="J715" s="1713"/>
      <c r="K715" s="1713"/>
      <c r="L715" s="1713"/>
      <c r="M715" s="1714"/>
      <c r="N715" s="1720"/>
      <c r="O715" s="1721"/>
      <c r="P715" s="1709"/>
      <c r="Q715" s="1710"/>
      <c r="R715" s="1710"/>
      <c r="S715" s="1710"/>
      <c r="T715" s="1710"/>
      <c r="U715" s="1710"/>
      <c r="V715" s="1710"/>
      <c r="W715" s="1710"/>
      <c r="X715" s="1710"/>
      <c r="Y715" s="1710"/>
      <c r="Z715" s="1711"/>
      <c r="AA715" s="1718"/>
      <c r="AB715" s="1433"/>
      <c r="AC715" s="1433"/>
      <c r="AD715" s="1433"/>
      <c r="AE715" s="1433"/>
      <c r="AF715" s="1719"/>
      <c r="AG715" s="2"/>
      <c r="AH715" s="373"/>
      <c r="AI715" s="597">
        <f>IF(N715&gt;"a",IF(N715="Yes", IF(P715&gt;"1", IF(AA715&gt;"a",1,0),0),1),0)</f>
        <v>0</v>
      </c>
      <c r="AJ715" s="598"/>
      <c r="AK715" s="599">
        <f>IF(AF125="X", IF(AI715=0,1,2),0)</f>
        <v>0</v>
      </c>
      <c r="AL715" s="556"/>
    </row>
    <row r="716" spans="1:68" ht="15" customHeight="1" x14ac:dyDescent="0.2">
      <c r="A716" s="562"/>
      <c r="B716" s="361"/>
      <c r="C716" s="498"/>
      <c r="D716" s="498"/>
      <c r="E716" s="498"/>
      <c r="F716" s="88"/>
      <c r="G716" s="1715"/>
      <c r="H716" s="1716"/>
      <c r="I716" s="1716"/>
      <c r="J716" s="1716"/>
      <c r="K716" s="1716"/>
      <c r="L716" s="1716"/>
      <c r="M716" s="1717"/>
      <c r="N716" s="1722"/>
      <c r="O716" s="1723"/>
      <c r="P716" s="1709"/>
      <c r="Q716" s="1710"/>
      <c r="R716" s="1710"/>
      <c r="S716" s="1710"/>
      <c r="T716" s="1710"/>
      <c r="U716" s="1710"/>
      <c r="V716" s="1710"/>
      <c r="W716" s="1710"/>
      <c r="X716" s="1710"/>
      <c r="Y716" s="1710"/>
      <c r="Z716" s="1711"/>
      <c r="AA716" s="1718"/>
      <c r="AB716" s="1433"/>
      <c r="AC716" s="1433"/>
      <c r="AD716" s="1433"/>
      <c r="AE716" s="1433"/>
      <c r="AF716" s="1719"/>
      <c r="AG716" s="2"/>
      <c r="AH716" s="373"/>
      <c r="AI716" s="597"/>
      <c r="AJ716" s="598"/>
      <c r="AK716" s="599"/>
      <c r="AL716" s="556"/>
    </row>
    <row r="717" spans="1:68" ht="15" customHeight="1" x14ac:dyDescent="0.2">
      <c r="A717" s="554">
        <f>COUNTBLANK(N702:N708)+COUNTBLANK(N713:N718)-3-B708-B707-B706</f>
        <v>10</v>
      </c>
      <c r="B717" s="361"/>
      <c r="C717" s="498"/>
      <c r="D717" s="498"/>
      <c r="E717" s="498"/>
      <c r="F717" s="88"/>
      <c r="G717" s="1712" t="s">
        <v>631</v>
      </c>
      <c r="H717" s="1713"/>
      <c r="I717" s="1713"/>
      <c r="J717" s="1713"/>
      <c r="K717" s="1713"/>
      <c r="L717" s="1713"/>
      <c r="M717" s="1714"/>
      <c r="N717" s="1720"/>
      <c r="O717" s="1721"/>
      <c r="P717" s="1709"/>
      <c r="Q717" s="1710"/>
      <c r="R717" s="1710"/>
      <c r="S717" s="1710"/>
      <c r="T717" s="1710"/>
      <c r="U717" s="1710"/>
      <c r="V717" s="1710"/>
      <c r="W717" s="1710"/>
      <c r="X717" s="1710"/>
      <c r="Y717" s="1710"/>
      <c r="Z717" s="1711"/>
      <c r="AA717" s="1718"/>
      <c r="AB717" s="1433"/>
      <c r="AC717" s="1433"/>
      <c r="AD717" s="1433"/>
      <c r="AE717" s="1433"/>
      <c r="AF717" s="1719"/>
      <c r="AG717" s="2"/>
      <c r="AH717" s="373"/>
      <c r="AI717" s="597">
        <f>IF(N717&gt;"a",IF(N717="Yes", IF(P717&gt;"1", IF(AA717&gt;"a",1,0),0),1),0)</f>
        <v>0</v>
      </c>
      <c r="AJ717" s="598"/>
      <c r="AK717" s="599">
        <f>IF(AF125="X", IF(AI717=0,1,2),0)</f>
        <v>0</v>
      </c>
      <c r="AL717" s="556"/>
    </row>
    <row r="718" spans="1:68" ht="15" customHeight="1" x14ac:dyDescent="0.2">
      <c r="B718" s="352"/>
      <c r="C718" s="498"/>
      <c r="D718" s="498"/>
      <c r="E718" s="498"/>
      <c r="F718" s="88"/>
      <c r="G718" s="1715"/>
      <c r="H718" s="1716"/>
      <c r="I718" s="1716"/>
      <c r="J718" s="1716"/>
      <c r="K718" s="1716"/>
      <c r="L718" s="1716"/>
      <c r="M718" s="1717"/>
      <c r="N718" s="1722"/>
      <c r="O718" s="1723"/>
      <c r="P718" s="1709"/>
      <c r="Q718" s="1710"/>
      <c r="R718" s="1710"/>
      <c r="S718" s="1710"/>
      <c r="T718" s="1710"/>
      <c r="U718" s="1710"/>
      <c r="V718" s="1710"/>
      <c r="W718" s="1710"/>
      <c r="X718" s="1710"/>
      <c r="Y718" s="1710"/>
      <c r="Z718" s="1711"/>
      <c r="AA718" s="1718"/>
      <c r="AB718" s="1433"/>
      <c r="AC718" s="1433"/>
      <c r="AD718" s="1433"/>
      <c r="AE718" s="1433"/>
      <c r="AF718" s="1719"/>
      <c r="AG718" s="2"/>
      <c r="AH718" s="373"/>
      <c r="AI718" s="597"/>
      <c r="AJ718" s="598"/>
      <c r="AK718" s="599"/>
      <c r="AL718" s="556"/>
    </row>
    <row r="719" spans="1:68" ht="15" customHeight="1" x14ac:dyDescent="0.2">
      <c r="B719" s="352"/>
      <c r="C719" s="498"/>
      <c r="D719" s="498"/>
      <c r="E719" s="498"/>
      <c r="F719" s="88"/>
      <c r="G719" s="1745" t="s">
        <v>518</v>
      </c>
      <c r="H719" s="1713"/>
      <c r="I719" s="1713"/>
      <c r="J719" s="1713"/>
      <c r="K719" s="1713"/>
      <c r="L719" s="1713"/>
      <c r="M719" s="1714"/>
      <c r="N719" s="1720"/>
      <c r="O719" s="1721"/>
      <c r="P719" s="1726"/>
      <c r="Q719" s="1727"/>
      <c r="R719" s="1727"/>
      <c r="S719" s="1727"/>
      <c r="T719" s="1727"/>
      <c r="U719" s="1727"/>
      <c r="V719" s="1727"/>
      <c r="W719" s="1727"/>
      <c r="X719" s="1727"/>
      <c r="Y719" s="1727"/>
      <c r="Z719" s="1728"/>
      <c r="AA719" s="1718"/>
      <c r="AB719" s="1433"/>
      <c r="AC719" s="1433"/>
      <c r="AD719" s="1433"/>
      <c r="AE719" s="1433"/>
      <c r="AF719" s="1719"/>
      <c r="AG719" s="2"/>
      <c r="AH719" s="373"/>
      <c r="AI719" s="597"/>
      <c r="AJ719" s="598"/>
      <c r="AK719" s="599"/>
      <c r="AL719" s="556"/>
    </row>
    <row r="720" spans="1:68" ht="15" customHeight="1" x14ac:dyDescent="0.2">
      <c r="B720" s="352"/>
      <c r="C720" s="498"/>
      <c r="D720" s="498"/>
      <c r="E720" s="498"/>
      <c r="F720" s="88"/>
      <c r="G720" s="1715"/>
      <c r="H720" s="1716"/>
      <c r="I720" s="1716"/>
      <c r="J720" s="1716"/>
      <c r="K720" s="1716"/>
      <c r="L720" s="1716"/>
      <c r="M720" s="1717"/>
      <c r="N720" s="1722"/>
      <c r="O720" s="1723"/>
      <c r="P720" s="1726"/>
      <c r="Q720" s="1727"/>
      <c r="R720" s="1727"/>
      <c r="S720" s="1727"/>
      <c r="T720" s="1727"/>
      <c r="U720" s="1727"/>
      <c r="V720" s="1727"/>
      <c r="W720" s="1727"/>
      <c r="X720" s="1727"/>
      <c r="Y720" s="1727"/>
      <c r="Z720" s="1728"/>
      <c r="AA720" s="1718"/>
      <c r="AB720" s="1433"/>
      <c r="AC720" s="1433"/>
      <c r="AD720" s="1433"/>
      <c r="AE720" s="1433"/>
      <c r="AF720" s="1719"/>
      <c r="AG720" s="2"/>
      <c r="AH720" s="222"/>
      <c r="AI720" s="597"/>
      <c r="AJ720" s="598"/>
      <c r="AK720" s="599"/>
      <c r="AL720" s="556"/>
    </row>
    <row r="721" spans="1:38" ht="2.25" customHeight="1" x14ac:dyDescent="0.2">
      <c r="A721" s="562"/>
      <c r="B721" s="352"/>
      <c r="C721" s="503"/>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222"/>
      <c r="AI721" s="597"/>
      <c r="AJ721" s="598"/>
      <c r="AK721" s="599"/>
      <c r="AL721" s="556"/>
    </row>
    <row r="722" spans="1:38" ht="3" customHeight="1" x14ac:dyDescent="0.2">
      <c r="C722" s="45"/>
      <c r="AH722" s="222"/>
      <c r="AI722" s="558"/>
      <c r="AJ722" s="557"/>
      <c r="AK722" s="556"/>
      <c r="AL722" s="556"/>
    </row>
    <row r="723" spans="1:38" ht="14.45" customHeight="1" x14ac:dyDescent="0.25">
      <c r="C723" s="1742" t="s">
        <v>135</v>
      </c>
      <c r="D723" s="1743"/>
      <c r="E723" s="1743"/>
      <c r="F723" s="1743"/>
      <c r="G723" s="1743"/>
      <c r="H723" s="1743"/>
      <c r="I723" s="1743"/>
      <c r="J723" s="1743"/>
      <c r="K723" s="1743"/>
      <c r="L723" s="1743"/>
      <c r="M723" s="1743"/>
      <c r="N723" s="1743"/>
      <c r="O723" s="1743"/>
      <c r="P723" s="1743"/>
      <c r="Q723" s="1743"/>
      <c r="R723" s="1743"/>
      <c r="S723" s="1743"/>
      <c r="T723" s="1743"/>
      <c r="U723" s="1743"/>
      <c r="V723" s="1743"/>
      <c r="W723" s="1743"/>
      <c r="X723" s="1743"/>
      <c r="Y723" s="1743"/>
      <c r="Z723" s="1743"/>
      <c r="AA723" s="1743"/>
      <c r="AB723" s="1743"/>
      <c r="AC723" s="1743"/>
      <c r="AD723" s="1743"/>
      <c r="AE723" s="1743"/>
      <c r="AF723" s="1743"/>
      <c r="AG723" s="1744"/>
      <c r="AH723" s="253" t="s">
        <v>684</v>
      </c>
      <c r="AI723" s="558"/>
      <c r="AK723" s="556"/>
      <c r="AL723" s="556"/>
    </row>
    <row r="724" spans="1:38" ht="13.5" customHeight="1" x14ac:dyDescent="0.2">
      <c r="C724" s="52" t="s">
        <v>483</v>
      </c>
      <c r="D724" s="32"/>
      <c r="E724" s="32"/>
      <c r="AH724" s="222"/>
      <c r="AI724" s="558"/>
      <c r="AJ724" s="557"/>
      <c r="AK724" s="556"/>
      <c r="AL724" s="556"/>
    </row>
    <row r="725" spans="1:38" ht="12" customHeight="1" x14ac:dyDescent="0.2">
      <c r="A725" s="581"/>
      <c r="B725" s="345"/>
      <c r="C725" s="198" t="s">
        <v>484</v>
      </c>
      <c r="D725" s="504"/>
      <c r="E725" s="198" t="s">
        <v>458</v>
      </c>
      <c r="F725" s="504"/>
      <c r="G725" s="504"/>
      <c r="H725" s="504"/>
      <c r="I725" s="504"/>
      <c r="J725" s="504"/>
      <c r="K725" s="504"/>
      <c r="L725" s="504"/>
      <c r="M725" s="504"/>
      <c r="N725" s="504"/>
      <c r="O725" s="504"/>
      <c r="P725" s="504"/>
      <c r="Q725" s="504"/>
      <c r="R725" s="504"/>
      <c r="S725" s="504"/>
      <c r="T725" s="504"/>
      <c r="U725" s="504"/>
      <c r="V725" s="504"/>
      <c r="W725" s="504"/>
      <c r="X725" s="504"/>
      <c r="Y725" s="504"/>
      <c r="Z725" s="504"/>
      <c r="AA725" s="504"/>
      <c r="AB725" s="504"/>
      <c r="AC725" s="504"/>
      <c r="AD725" s="504"/>
      <c r="AE725" s="504"/>
      <c r="AF725" s="504"/>
      <c r="AG725" s="504"/>
      <c r="AH725" s="504"/>
      <c r="AI725" s="558"/>
      <c r="AJ725" s="557"/>
      <c r="AK725" s="556"/>
      <c r="AL725" s="556"/>
    </row>
    <row r="726" spans="1:38" ht="25.5" customHeight="1" x14ac:dyDescent="0.2">
      <c r="A726" s="581"/>
      <c r="B726" s="345"/>
      <c r="C726" s="504"/>
      <c r="D726" s="504"/>
      <c r="E726" s="1529"/>
      <c r="F726" s="1530"/>
      <c r="G726" s="1530"/>
      <c r="H726" s="1530"/>
      <c r="I726" s="1530"/>
      <c r="J726" s="1530"/>
      <c r="K726" s="1531"/>
      <c r="L726" s="1499" t="s">
        <v>390</v>
      </c>
      <c r="M726" s="1500"/>
      <c r="N726" s="1500"/>
      <c r="O726" s="1500"/>
      <c r="P726" s="1500"/>
      <c r="Q726" s="1500"/>
      <c r="R726" s="1500"/>
      <c r="S726" s="1500"/>
      <c r="T726" s="1500"/>
      <c r="U726" s="1501"/>
      <c r="V726" s="1499" t="s">
        <v>391</v>
      </c>
      <c r="W726" s="1500"/>
      <c r="X726" s="1500"/>
      <c r="Y726" s="1500"/>
      <c r="Z726" s="1500"/>
      <c r="AA726" s="1500"/>
      <c r="AB726" s="1500"/>
      <c r="AC726" s="1500"/>
      <c r="AD726" s="1500"/>
      <c r="AE726" s="1501"/>
      <c r="AF726" s="504"/>
      <c r="AG726" s="504"/>
      <c r="AH726" s="504"/>
      <c r="AI726" s="558"/>
      <c r="AJ726" s="557"/>
      <c r="AK726" s="556"/>
      <c r="AL726" s="556"/>
    </row>
    <row r="727" spans="1:38" ht="18" customHeight="1" x14ac:dyDescent="0.2">
      <c r="A727" s="562">
        <f>IF(L727&gt;0, IF(Q727="Days",IF(L727&lt;730,1,2),IF(Q727="Weeks",IF(L727&lt;104,1,2),IF(Q727="Months",IF(L727&lt;48,1,2),IF(Q727="Years",IF(L727&lt;2,1,2),2)))),0)</f>
        <v>0</v>
      </c>
      <c r="B727" s="335"/>
      <c r="C727" s="504"/>
      <c r="D727" s="504"/>
      <c r="E727" s="1535" t="s">
        <v>453</v>
      </c>
      <c r="F727" s="1536"/>
      <c r="G727" s="1536"/>
      <c r="H727" s="1536"/>
      <c r="I727" s="1536"/>
      <c r="J727" s="1536"/>
      <c r="K727" s="1537"/>
      <c r="L727" s="1544"/>
      <c r="M727" s="1545"/>
      <c r="N727" s="1545"/>
      <c r="O727" s="1545"/>
      <c r="P727" s="1546"/>
      <c r="Q727" s="771"/>
      <c r="R727" s="772"/>
      <c r="S727" s="772"/>
      <c r="T727" s="772"/>
      <c r="U727" s="773"/>
      <c r="V727" s="1544"/>
      <c r="W727" s="1545"/>
      <c r="X727" s="1545"/>
      <c r="Y727" s="1545"/>
      <c r="Z727" s="1546"/>
      <c r="AA727" s="771"/>
      <c r="AB727" s="772"/>
      <c r="AC727" s="772"/>
      <c r="AD727" s="772"/>
      <c r="AE727" s="773"/>
      <c r="AF727" s="504"/>
      <c r="AG727" s="504"/>
      <c r="AH727" s="504"/>
      <c r="AI727" s="558"/>
      <c r="AJ727" s="557">
        <f>IF(AL727=0,1,0)</f>
        <v>0</v>
      </c>
      <c r="AK727" s="556">
        <f>IF(AF125="X", IF(AJ727=0,1,2),0)</f>
        <v>0</v>
      </c>
      <c r="AL727" s="556">
        <f>COUNTBLANK(L727)+COUNTBLANK(Q727)+COUNTBLANK(V727)+COUNTBLANK(AA727)</f>
        <v>4</v>
      </c>
    </row>
    <row r="728" spans="1:38" ht="16.5" customHeight="1" x14ac:dyDescent="0.2">
      <c r="A728" s="581"/>
      <c r="B728" s="335"/>
      <c r="C728" s="504"/>
      <c r="D728" s="504"/>
      <c r="E728" s="820" t="s">
        <v>454</v>
      </c>
      <c r="F728" s="1516"/>
      <c r="G728" s="1516"/>
      <c r="H728" s="1516"/>
      <c r="I728" s="1516"/>
      <c r="J728" s="1516"/>
      <c r="K728" s="1517"/>
      <c r="L728" s="874" t="s">
        <v>456</v>
      </c>
      <c r="M728" s="875"/>
      <c r="N728" s="875"/>
      <c r="O728" s="875"/>
      <c r="P728" s="876"/>
      <c r="Q728" s="771"/>
      <c r="R728" s="772"/>
      <c r="S728" s="772"/>
      <c r="T728" s="772"/>
      <c r="U728" s="773"/>
      <c r="V728" s="874" t="s">
        <v>456</v>
      </c>
      <c r="W728" s="875"/>
      <c r="X728" s="875"/>
      <c r="Y728" s="875"/>
      <c r="Z728" s="876"/>
      <c r="AA728" s="771"/>
      <c r="AB728" s="772"/>
      <c r="AC728" s="772"/>
      <c r="AD728" s="772"/>
      <c r="AE728" s="773"/>
      <c r="AF728" s="504"/>
      <c r="AG728" s="504"/>
      <c r="AH728" s="504"/>
      <c r="AI728" s="558"/>
      <c r="AJ728" s="557">
        <f>IF(Q728="Yes", 1, IF(Q728="No",1,0))*(IF(AA728="Yes",1, IF(AA728="No",1,0)))</f>
        <v>0</v>
      </c>
      <c r="AK728" s="556">
        <f>IF(AF125="X", IF(AJ728=0,1,2),0)</f>
        <v>0</v>
      </c>
      <c r="AL728" s="556"/>
    </row>
    <row r="729" spans="1:38" ht="15" customHeight="1" x14ac:dyDescent="0.25">
      <c r="C729" s="504"/>
      <c r="D729" s="504"/>
      <c r="E729" s="1518"/>
      <c r="F729" s="1519"/>
      <c r="G729" s="1519"/>
      <c r="H729" s="1519"/>
      <c r="I729" s="1519"/>
      <c r="J729" s="1519"/>
      <c r="K729" s="1520"/>
      <c r="L729" s="874" t="s">
        <v>455</v>
      </c>
      <c r="M729" s="875"/>
      <c r="N729" s="875"/>
      <c r="O729" s="875"/>
      <c r="P729" s="876"/>
      <c r="Q729" s="1838"/>
      <c r="R729" s="1839"/>
      <c r="S729" s="1839"/>
      <c r="T729" s="1839"/>
      <c r="U729" s="201" t="s">
        <v>389</v>
      </c>
      <c r="V729" s="874" t="s">
        <v>455</v>
      </c>
      <c r="W729" s="875"/>
      <c r="X729" s="875"/>
      <c r="Y729" s="875"/>
      <c r="Z729" s="876"/>
      <c r="AA729" s="1527"/>
      <c r="AB729" s="1528"/>
      <c r="AC729" s="1528"/>
      <c r="AD729" s="1528"/>
      <c r="AE729" s="201" t="s">
        <v>359</v>
      </c>
      <c r="AF729" s="504"/>
      <c r="AG729" s="504"/>
      <c r="AH729" s="504"/>
      <c r="AI729" s="558"/>
      <c r="AJ729" s="557"/>
      <c r="AK729" s="556"/>
      <c r="AL729" s="556"/>
    </row>
    <row r="730" spans="1:38" ht="16.5" customHeight="1" x14ac:dyDescent="0.2">
      <c r="C730" s="504"/>
      <c r="D730" s="504"/>
      <c r="E730" s="820" t="s">
        <v>457</v>
      </c>
      <c r="F730" s="1516"/>
      <c r="G730" s="1516"/>
      <c r="H730" s="1516"/>
      <c r="I730" s="1516"/>
      <c r="J730" s="1516"/>
      <c r="K730" s="1517"/>
      <c r="L730" s="874" t="s">
        <v>456</v>
      </c>
      <c r="M730" s="875"/>
      <c r="N730" s="875"/>
      <c r="O730" s="875"/>
      <c r="P730" s="876"/>
      <c r="Q730" s="771"/>
      <c r="R730" s="772"/>
      <c r="S730" s="772"/>
      <c r="T730" s="772"/>
      <c r="U730" s="773"/>
      <c r="V730" s="1521"/>
      <c r="W730" s="1522"/>
      <c r="X730" s="1522"/>
      <c r="Y730" s="1522"/>
      <c r="Z730" s="1522"/>
      <c r="AA730" s="1522"/>
      <c r="AB730" s="1522"/>
      <c r="AC730" s="1522"/>
      <c r="AD730" s="1522"/>
      <c r="AE730" s="1523"/>
      <c r="AF730" s="504"/>
      <c r="AG730" s="504"/>
      <c r="AH730" s="504"/>
      <c r="AI730" s="558"/>
      <c r="AJ730" s="557">
        <f>IF(Q730="Yes", 1, IF(Q730="No",1,0))</f>
        <v>0</v>
      </c>
      <c r="AK730" s="556">
        <f>IF(AF125="X", IF(AJ730=0,1,2),0)</f>
        <v>0</v>
      </c>
      <c r="AL730" s="556"/>
    </row>
    <row r="731" spans="1:38" ht="15" customHeight="1" x14ac:dyDescent="0.25">
      <c r="A731" s="562"/>
      <c r="C731" s="504"/>
      <c r="D731" s="504"/>
      <c r="E731" s="1518"/>
      <c r="F731" s="1519"/>
      <c r="G731" s="1519"/>
      <c r="H731" s="1519"/>
      <c r="I731" s="1519"/>
      <c r="J731" s="1519"/>
      <c r="K731" s="1520"/>
      <c r="L731" s="874" t="s">
        <v>455</v>
      </c>
      <c r="M731" s="875"/>
      <c r="N731" s="875"/>
      <c r="O731" s="875"/>
      <c r="P731" s="876"/>
      <c r="Q731" s="1527"/>
      <c r="R731" s="1528"/>
      <c r="S731" s="1528"/>
      <c r="T731" s="1528"/>
      <c r="U731" s="201" t="s">
        <v>389</v>
      </c>
      <c r="V731" s="1524"/>
      <c r="W731" s="1525"/>
      <c r="X731" s="1525"/>
      <c r="Y731" s="1525"/>
      <c r="Z731" s="1525"/>
      <c r="AA731" s="1525"/>
      <c r="AB731" s="1525"/>
      <c r="AC731" s="1525"/>
      <c r="AD731" s="1525"/>
      <c r="AE731" s="1526"/>
      <c r="AF731" s="504"/>
      <c r="AG731" s="504"/>
      <c r="AH731" s="504"/>
      <c r="AI731" s="558"/>
      <c r="AJ731" s="557"/>
      <c r="AK731" s="556"/>
      <c r="AL731" s="556"/>
    </row>
    <row r="732" spans="1:38" ht="31.9" customHeight="1" x14ac:dyDescent="0.2">
      <c r="C732" s="504"/>
      <c r="D732" s="504"/>
      <c r="E732" s="1499" t="s">
        <v>591</v>
      </c>
      <c r="F732" s="1500"/>
      <c r="G732" s="1500"/>
      <c r="H732" s="1500"/>
      <c r="I732" s="1500"/>
      <c r="J732" s="1500"/>
      <c r="K732" s="1501"/>
      <c r="L732" s="1506"/>
      <c r="M732" s="1507"/>
      <c r="N732" s="1507"/>
      <c r="O732" s="1507"/>
      <c r="P732" s="1507"/>
      <c r="Q732" s="1507"/>
      <c r="R732" s="1507"/>
      <c r="S732" s="1507"/>
      <c r="T732" s="1507"/>
      <c r="U732" s="1508"/>
      <c r="V732" s="1506"/>
      <c r="W732" s="1507"/>
      <c r="X732" s="1507"/>
      <c r="Y732" s="1507"/>
      <c r="Z732" s="1507"/>
      <c r="AA732" s="1507"/>
      <c r="AB732" s="1507"/>
      <c r="AC732" s="1507"/>
      <c r="AD732" s="1507"/>
      <c r="AE732" s="1508"/>
      <c r="AF732" s="504"/>
      <c r="AG732" s="504"/>
      <c r="AH732" s="504"/>
      <c r="AI732" s="558"/>
      <c r="AJ732" s="557"/>
      <c r="AK732" s="556">
        <f>IF(AF125="X", IF(AJ732=0,1,2),0)</f>
        <v>0</v>
      </c>
      <c r="AL732" s="556"/>
    </row>
    <row r="733" spans="1:38" ht="3" customHeight="1" x14ac:dyDescent="0.2">
      <c r="C733" s="504"/>
      <c r="D733" s="504"/>
      <c r="E733" s="504"/>
      <c r="F733" s="504"/>
      <c r="G733" s="504"/>
      <c r="H733" s="504"/>
      <c r="I733" s="504"/>
      <c r="J733" s="504"/>
      <c r="K733" s="504"/>
      <c r="L733" s="504"/>
      <c r="M733" s="504"/>
      <c r="N733" s="504"/>
      <c r="O733" s="504"/>
      <c r="P733" s="504"/>
      <c r="Q733" s="504"/>
      <c r="R733" s="504"/>
      <c r="S733" s="504"/>
      <c r="T733" s="504"/>
      <c r="U733" s="504"/>
      <c r="V733" s="504"/>
      <c r="W733" s="504"/>
      <c r="X733" s="504"/>
      <c r="Y733" s="504"/>
      <c r="Z733" s="504"/>
      <c r="AA733" s="504"/>
      <c r="AB733" s="504"/>
      <c r="AC733" s="504"/>
      <c r="AD733" s="504"/>
      <c r="AE733" s="504"/>
      <c r="AF733" s="504"/>
      <c r="AG733" s="504"/>
      <c r="AH733" s="504"/>
      <c r="AI733" s="558"/>
      <c r="AJ733" s="557"/>
      <c r="AK733" s="556"/>
      <c r="AL733" s="556"/>
    </row>
    <row r="734" spans="1:38" ht="13.9" customHeight="1" x14ac:dyDescent="0.2">
      <c r="B734" s="333" t="s">
        <v>352</v>
      </c>
      <c r="C734" s="198" t="s">
        <v>437</v>
      </c>
      <c r="D734" s="504"/>
      <c r="E734" s="192"/>
      <c r="F734" s="193"/>
      <c r="G734" s="193"/>
      <c r="H734" s="109"/>
      <c r="I734" s="193"/>
      <c r="J734" s="193"/>
      <c r="K734" s="193"/>
      <c r="L734" s="193"/>
      <c r="M734" s="192"/>
      <c r="N734" s="193"/>
      <c r="O734" s="193"/>
      <c r="P734" s="192" t="s">
        <v>452</v>
      </c>
      <c r="Q734" s="1551"/>
      <c r="R734" s="1470"/>
      <c r="S734" s="1470"/>
      <c r="T734" s="1470"/>
      <c r="U734" s="1471"/>
      <c r="V734" s="193"/>
      <c r="W734" s="194"/>
      <c r="X734" s="194"/>
      <c r="Y734" s="193"/>
      <c r="Z734" s="504"/>
      <c r="AA734" s="504"/>
      <c r="AB734" s="504"/>
      <c r="AC734" s="504"/>
      <c r="AD734" s="504"/>
      <c r="AE734" s="504"/>
      <c r="AF734" s="504"/>
      <c r="AG734" s="504"/>
      <c r="AH734" s="504"/>
      <c r="AI734" s="558"/>
      <c r="AJ734" s="557">
        <f>IF(Q734&gt;"a",1,0)</f>
        <v>0</v>
      </c>
      <c r="AK734" s="556">
        <f>IF(AF125="X", IF(AJ734=0,1,2),0)</f>
        <v>0</v>
      </c>
      <c r="AL734" s="556"/>
    </row>
    <row r="735" spans="1:38" ht="14.25" customHeight="1" x14ac:dyDescent="0.2">
      <c r="A735" s="560" t="s">
        <v>299</v>
      </c>
      <c r="B735" s="333" t="s">
        <v>351</v>
      </c>
      <c r="C735" s="504"/>
      <c r="D735" s="504"/>
      <c r="E735" s="198" t="str">
        <f>IF(Q734&gt;"a", IF(Q734="Use by",IF(A727=2,B734&amp;" - "&amp;B735,B734),IF(Q734="Best before",B734,A735)),"")</f>
        <v/>
      </c>
      <c r="F735" s="504"/>
      <c r="G735" s="504"/>
      <c r="H735" s="504"/>
      <c r="I735" s="504"/>
      <c r="J735" s="504"/>
      <c r="K735" s="504"/>
      <c r="L735" s="504"/>
      <c r="M735" s="504"/>
      <c r="N735" s="504"/>
      <c r="O735" s="504"/>
      <c r="P735" s="504"/>
      <c r="Q735" s="504"/>
      <c r="R735" s="504"/>
      <c r="S735" s="504"/>
      <c r="T735" s="504"/>
      <c r="U735" s="504"/>
      <c r="V735" s="504"/>
      <c r="W735" s="504"/>
      <c r="X735" s="504"/>
      <c r="Y735" s="504"/>
      <c r="Z735" s="504"/>
      <c r="AA735" s="504"/>
      <c r="AB735" s="504"/>
      <c r="AC735" s="504"/>
      <c r="AD735" s="504"/>
      <c r="AE735" s="504"/>
      <c r="AF735" s="504"/>
      <c r="AG735" s="504"/>
      <c r="AH735" s="504"/>
      <c r="AI735" s="558"/>
      <c r="AJ735" s="557"/>
      <c r="AK735" s="556"/>
      <c r="AL735" s="556"/>
    </row>
    <row r="736" spans="1:38" ht="16.5" customHeight="1" x14ac:dyDescent="0.2">
      <c r="C736" s="52" t="s">
        <v>485</v>
      </c>
      <c r="D736" s="504"/>
      <c r="E736" s="272"/>
      <c r="F736" s="504"/>
      <c r="G736" s="504"/>
      <c r="H736" s="504"/>
      <c r="I736" s="504"/>
      <c r="J736" s="504"/>
      <c r="K736" s="504"/>
      <c r="L736" s="504"/>
      <c r="M736" s="504"/>
      <c r="N736" s="504"/>
      <c r="O736" s="504"/>
      <c r="P736" s="504"/>
      <c r="Q736" s="504"/>
      <c r="R736" s="504"/>
      <c r="S736" s="504"/>
      <c r="T736" s="504"/>
      <c r="U736" s="504"/>
      <c r="V736" s="504"/>
      <c r="W736" s="504"/>
      <c r="X736" s="504"/>
      <c r="Y736" s="504"/>
      <c r="Z736" s="504"/>
      <c r="AA736" s="504"/>
      <c r="AB736" s="504"/>
      <c r="AC736" s="504"/>
      <c r="AD736" s="504"/>
      <c r="AE736" s="504"/>
      <c r="AF736" s="504"/>
      <c r="AG736" s="504"/>
      <c r="AH736" s="504"/>
      <c r="AI736" s="558"/>
      <c r="AJ736" s="557"/>
      <c r="AK736" s="556"/>
      <c r="AL736" s="556"/>
    </row>
    <row r="737" spans="1:38" ht="13.15" customHeight="1" x14ac:dyDescent="0.2">
      <c r="C737" s="48" t="s">
        <v>245</v>
      </c>
      <c r="D737" s="504"/>
      <c r="E737" s="1840" t="s">
        <v>151</v>
      </c>
      <c r="F737" s="1840"/>
      <c r="G737" s="1840"/>
      <c r="H737" s="1840"/>
      <c r="I737" s="1840"/>
      <c r="J737" s="1840"/>
      <c r="K737" s="1840"/>
      <c r="L737" s="1840"/>
      <c r="M737" s="1840"/>
      <c r="N737" s="1840"/>
      <c r="O737" s="1840"/>
      <c r="P737" s="1840"/>
      <c r="Q737" s="1840"/>
      <c r="R737" s="1840"/>
      <c r="S737" s="1840"/>
      <c r="T737" s="1840"/>
      <c r="U737" s="1840"/>
      <c r="V737" s="1840"/>
      <c r="W737" s="1840"/>
      <c r="X737" s="1840"/>
      <c r="Y737" s="1840"/>
      <c r="Z737" s="1840"/>
      <c r="AA737" s="1840"/>
      <c r="AB737" s="1840"/>
      <c r="AC737" s="745"/>
      <c r="AD737" s="770"/>
      <c r="AE737" s="106" t="s">
        <v>697</v>
      </c>
      <c r="AF737" s="504"/>
      <c r="AG737" s="504"/>
      <c r="AH737" s="504"/>
      <c r="AI737" s="558"/>
      <c r="AJ737" s="557"/>
      <c r="AK737" s="556"/>
      <c r="AL737" s="556"/>
    </row>
    <row r="738" spans="1:38" ht="1.9" customHeight="1" thickBot="1" x14ac:dyDescent="0.25">
      <c r="C738" s="48"/>
      <c r="D738" s="504"/>
      <c r="E738" s="198"/>
      <c r="F738" s="198"/>
      <c r="G738" s="198"/>
      <c r="H738" s="198"/>
      <c r="I738" s="198"/>
      <c r="J738" s="198"/>
      <c r="K738" s="198"/>
      <c r="L738" s="198"/>
      <c r="M738" s="198"/>
      <c r="N738" s="198"/>
      <c r="O738" s="198"/>
      <c r="P738" s="198"/>
      <c r="Q738" s="198"/>
      <c r="R738" s="198"/>
      <c r="S738" s="198"/>
      <c r="T738" s="198"/>
      <c r="U738" s="198"/>
      <c r="V738" s="198"/>
      <c r="W738" s="198"/>
      <c r="X738" s="198"/>
      <c r="Y738" s="198"/>
      <c r="Z738" s="198"/>
      <c r="AA738" s="198"/>
      <c r="AB738" s="198"/>
      <c r="AC738" s="504"/>
      <c r="AD738" s="504"/>
      <c r="AE738" s="504"/>
      <c r="AF738" s="504"/>
      <c r="AG738" s="504"/>
      <c r="AH738" s="504"/>
      <c r="AI738" s="558"/>
      <c r="AJ738" s="557"/>
      <c r="AK738" s="556"/>
      <c r="AL738" s="556"/>
    </row>
    <row r="739" spans="1:38" ht="12.75" customHeight="1" thickBot="1" x14ac:dyDescent="0.25">
      <c r="A739" s="560">
        <f>IF(AC737="Yes",IF(AC741="Yes",IF(X743&gt;"a",4,3),2),IF(AC737="No",1,0))</f>
        <v>0</v>
      </c>
      <c r="C739" s="48" t="s">
        <v>272</v>
      </c>
      <c r="D739" s="47"/>
      <c r="E739" s="48"/>
      <c r="F739" s="48"/>
      <c r="G739" s="48"/>
      <c r="H739" s="48"/>
      <c r="I739" s="48"/>
      <c r="J739" s="48"/>
      <c r="K739" s="48"/>
      <c r="L739" s="48"/>
      <c r="M739" s="48"/>
      <c r="N739" s="48"/>
      <c r="O739" s="165"/>
      <c r="P739" s="48" t="s">
        <v>246</v>
      </c>
      <c r="Q739" s="48"/>
      <c r="R739" s="48"/>
      <c r="S739" s="48"/>
      <c r="T739" s="165"/>
      <c r="U739" s="48" t="s">
        <v>249</v>
      </c>
      <c r="V739" s="48"/>
      <c r="W739" s="48"/>
      <c r="X739" s="48"/>
      <c r="Y739" s="165"/>
      <c r="Z739" s="48" t="s">
        <v>247</v>
      </c>
      <c r="AA739" s="504"/>
      <c r="AB739" s="504"/>
      <c r="AC739" s="165"/>
      <c r="AD739" s="48" t="s">
        <v>248</v>
      </c>
      <c r="AE739" s="504"/>
      <c r="AF739" s="504"/>
      <c r="AG739" s="504"/>
      <c r="AH739" s="504"/>
      <c r="AI739" s="558"/>
      <c r="AJ739" s="557">
        <f>IF(AC737="Yes",IF(AC741&gt;"N",1,0), IF(AC737="No",1,0))</f>
        <v>0</v>
      </c>
      <c r="AK739" s="556">
        <f>IF(AF125="X", IF(AJ739=0,1,2),0)</f>
        <v>0</v>
      </c>
      <c r="AL739" s="556"/>
    </row>
    <row r="740" spans="1:38" ht="3" customHeight="1" x14ac:dyDescent="0.2">
      <c r="C740" s="48"/>
      <c r="D740" s="47"/>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130"/>
      <c r="AC740" s="48"/>
      <c r="AD740" s="48"/>
      <c r="AE740" s="106"/>
      <c r="AF740" s="47"/>
      <c r="AG740" s="41"/>
      <c r="AH740" s="504"/>
      <c r="AI740" s="558"/>
      <c r="AJ740" s="557"/>
      <c r="AK740" s="556"/>
      <c r="AL740" s="556"/>
    </row>
    <row r="741" spans="1:38" ht="12.75" customHeight="1" x14ac:dyDescent="0.2">
      <c r="C741" s="48" t="s">
        <v>152</v>
      </c>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7"/>
      <c r="AC741" s="745"/>
      <c r="AD741" s="770"/>
      <c r="AE741" s="106" t="s">
        <v>697</v>
      </c>
      <c r="AF741" s="47"/>
      <c r="AG741" s="41"/>
      <c r="AH741" s="504"/>
      <c r="AI741" s="558"/>
      <c r="AJ741" s="557"/>
      <c r="AK741" s="556"/>
      <c r="AL741" s="556"/>
    </row>
    <row r="742" spans="1:38" ht="1.9" customHeight="1" x14ac:dyDescent="0.2">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7"/>
      <c r="AC742" s="47"/>
      <c r="AD742" s="47"/>
      <c r="AE742" s="47"/>
      <c r="AF742" s="47"/>
      <c r="AG742" s="41"/>
      <c r="AH742" s="504"/>
      <c r="AI742" s="558"/>
      <c r="AJ742" s="557"/>
      <c r="AK742" s="556"/>
      <c r="AL742" s="556"/>
    </row>
    <row r="743" spans="1:38" ht="12.75" customHeight="1" x14ac:dyDescent="0.2">
      <c r="C743" s="48"/>
      <c r="D743" s="48"/>
      <c r="E743" s="551" t="s">
        <v>882</v>
      </c>
      <c r="F743" s="309"/>
      <c r="G743" s="309" t="s">
        <v>184</v>
      </c>
      <c r="H743" s="309"/>
      <c r="I743" s="309"/>
      <c r="J743" s="309"/>
      <c r="K743" s="309"/>
      <c r="L743" s="309"/>
      <c r="M743" s="309"/>
      <c r="N743" s="309"/>
      <c r="O743" s="309"/>
      <c r="P743" s="309"/>
      <c r="Q743" s="309"/>
      <c r="R743" s="1538"/>
      <c r="S743" s="1539"/>
      <c r="T743" s="1539"/>
      <c r="U743" s="1539"/>
      <c r="V743" s="1539"/>
      <c r="W743" s="1539"/>
      <c r="X743" s="1539"/>
      <c r="Y743" s="1539"/>
      <c r="Z743" s="1539"/>
      <c r="AA743" s="1539"/>
      <c r="AB743" s="1539"/>
      <c r="AC743" s="1539"/>
      <c r="AD743" s="1540"/>
      <c r="AE743" s="47"/>
      <c r="AF743" s="47"/>
      <c r="AG743" s="505"/>
      <c r="AH743" s="505"/>
      <c r="AI743" s="558"/>
      <c r="AJ743" s="557"/>
      <c r="AK743" s="556"/>
      <c r="AL743" s="556"/>
    </row>
    <row r="744" spans="1:38" ht="2.4500000000000002" customHeight="1" x14ac:dyDescent="0.2">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7"/>
      <c r="AC744" s="47"/>
      <c r="AD744" s="47"/>
      <c r="AE744" s="47"/>
      <c r="AF744" s="47"/>
      <c r="AG744" s="505"/>
      <c r="AH744" s="505"/>
      <c r="AI744" s="558"/>
      <c r="AJ744" s="557"/>
      <c r="AK744" s="556"/>
      <c r="AL744" s="556"/>
    </row>
    <row r="745" spans="1:38" ht="12" customHeight="1" x14ac:dyDescent="0.2">
      <c r="A745" s="554"/>
      <c r="C745" s="48"/>
      <c r="D745" s="47"/>
      <c r="E745" s="309" t="s">
        <v>183</v>
      </c>
      <c r="F745" s="309"/>
      <c r="G745" s="309"/>
      <c r="H745" s="309"/>
      <c r="I745" s="309"/>
      <c r="J745" s="309"/>
      <c r="K745" s="309"/>
      <c r="L745" s="309"/>
      <c r="M745" s="309"/>
      <c r="N745" s="309"/>
      <c r="O745" s="309"/>
      <c r="P745" s="309"/>
      <c r="Q745" s="309"/>
      <c r="R745" s="817"/>
      <c r="S745" s="818"/>
      <c r="T745" s="818"/>
      <c r="U745" s="818"/>
      <c r="V745" s="818"/>
      <c r="W745" s="818"/>
      <c r="X745" s="818"/>
      <c r="Y745" s="818"/>
      <c r="Z745" s="818"/>
      <c r="AA745" s="818"/>
      <c r="AB745" s="818"/>
      <c r="AC745" s="818"/>
      <c r="AD745" s="819"/>
      <c r="AE745" s="41"/>
      <c r="AF745" s="41"/>
      <c r="AG745" s="505"/>
      <c r="AH745" s="505"/>
      <c r="AI745" s="558"/>
      <c r="AJ745" s="557"/>
      <c r="AK745" s="556"/>
      <c r="AL745" s="556"/>
    </row>
    <row r="746" spans="1:38" ht="12" customHeight="1" x14ac:dyDescent="0.2">
      <c r="A746" s="554"/>
      <c r="C746" s="48"/>
      <c r="D746" s="47"/>
      <c r="E746" s="47"/>
      <c r="F746" s="47"/>
      <c r="G746" s="47"/>
      <c r="H746" s="47"/>
      <c r="I746" s="47"/>
      <c r="J746" s="47"/>
      <c r="K746" s="47"/>
      <c r="L746" s="47"/>
      <c r="M746" s="302" t="s">
        <v>236</v>
      </c>
      <c r="N746" s="47"/>
      <c r="O746" s="47"/>
      <c r="P746" s="47"/>
      <c r="Q746" s="47"/>
      <c r="R746" s="1502" t="s">
        <v>235</v>
      </c>
      <c r="S746" s="1502"/>
      <c r="T746" s="1502"/>
      <c r="U746" s="1502"/>
      <c r="V746" s="1502"/>
      <c r="W746" s="1502"/>
      <c r="X746" s="1502"/>
      <c r="Y746" s="1502"/>
      <c r="Z746" s="1502"/>
      <c r="AA746" s="1502"/>
      <c r="AB746" s="1502"/>
      <c r="AC746" s="1502"/>
      <c r="AD746" s="1502"/>
      <c r="AE746" s="41"/>
      <c r="AF746" s="41"/>
      <c r="AG746" s="505"/>
      <c r="AH746" s="505"/>
      <c r="AI746" s="558"/>
      <c r="AJ746" s="557"/>
      <c r="AK746" s="556"/>
      <c r="AL746" s="556"/>
    </row>
    <row r="747" spans="1:38" ht="2.25" customHeight="1" x14ac:dyDescent="0.2">
      <c r="C747" s="48"/>
      <c r="D747" s="47"/>
      <c r="E747" s="197"/>
      <c r="F747" s="197"/>
      <c r="G747" s="197"/>
      <c r="H747" s="197"/>
      <c r="I747" s="197"/>
      <c r="J747" s="197"/>
      <c r="K747" s="197"/>
      <c r="L747" s="197"/>
      <c r="M747" s="197"/>
      <c r="N747" s="197"/>
      <c r="O747" s="197"/>
      <c r="P747" s="197"/>
      <c r="Q747" s="197"/>
      <c r="R747" s="48"/>
      <c r="S747" s="47"/>
      <c r="T747" s="130"/>
      <c r="U747" s="47"/>
      <c r="V747" s="47"/>
      <c r="W747" s="47"/>
      <c r="X747" s="47"/>
      <c r="Y747" s="47"/>
      <c r="Z747" s="47"/>
      <c r="AA747" s="47"/>
      <c r="AB747" s="41"/>
      <c r="AC747" s="41"/>
      <c r="AD747" s="41"/>
      <c r="AE747" s="41"/>
      <c r="AF747" s="41"/>
      <c r="AG747" s="505"/>
      <c r="AH747" s="505"/>
      <c r="AI747" s="558"/>
      <c r="AJ747" s="557"/>
      <c r="AK747" s="556"/>
      <c r="AL747" s="556"/>
    </row>
    <row r="748" spans="1:38" ht="12.75" customHeight="1" x14ac:dyDescent="0.2">
      <c r="C748" s="52" t="s">
        <v>486</v>
      </c>
      <c r="D748" s="32"/>
      <c r="E748" s="32"/>
      <c r="AG748" s="370"/>
      <c r="AH748" s="373"/>
      <c r="AI748" s="558"/>
      <c r="AJ748" s="557"/>
      <c r="AK748" s="556"/>
      <c r="AL748" s="556"/>
    </row>
    <row r="749" spans="1:38" ht="14.25" customHeight="1" x14ac:dyDescent="0.2">
      <c r="A749" s="578">
        <f>IF(R749="Freight or tanker transport of unpackaged product",1, IF(R749="Bulk/wholesale package, not individually packaged",2,IF(R749&gt;"F",3,0)))</f>
        <v>0</v>
      </c>
      <c r="C749" s="48"/>
      <c r="D749" s="378" t="s">
        <v>149</v>
      </c>
      <c r="E749" s="63"/>
      <c r="F749" s="32"/>
      <c r="G749" s="32"/>
      <c r="H749" s="32"/>
      <c r="I749" s="32"/>
      <c r="J749" s="32"/>
      <c r="K749" s="32"/>
      <c r="M749" s="8"/>
      <c r="N749" s="47"/>
      <c r="O749" s="47"/>
      <c r="P749" s="47"/>
      <c r="Q749" s="47"/>
      <c r="R749" s="1503"/>
      <c r="S749" s="1504"/>
      <c r="T749" s="1504"/>
      <c r="U749" s="1504"/>
      <c r="V749" s="1504"/>
      <c r="W749" s="1504"/>
      <c r="X749" s="1504"/>
      <c r="Y749" s="1504"/>
      <c r="Z749" s="1504"/>
      <c r="AA749" s="1504"/>
      <c r="AB749" s="1504"/>
      <c r="AC749" s="1504"/>
      <c r="AD749" s="1504"/>
      <c r="AE749" s="1504"/>
      <c r="AF749" s="1505"/>
      <c r="AG749" s="505"/>
      <c r="AH749" s="505"/>
      <c r="AI749" s="558"/>
      <c r="AJ749" s="557">
        <f>IF(TRIM(R749)&gt;"a",1,0)</f>
        <v>0</v>
      </c>
      <c r="AK749" s="556">
        <f>IF(AF125="X", IF(AJ749=0,1,2),0)</f>
        <v>0</v>
      </c>
      <c r="AL749" s="556"/>
    </row>
    <row r="750" spans="1:38" ht="13.5" customHeight="1" x14ac:dyDescent="0.2">
      <c r="A750" s="578" t="s">
        <v>300</v>
      </c>
      <c r="B750" s="338"/>
      <c r="C750" s="41"/>
      <c r="D750" s="207" t="str">
        <f>IF(A749=1,A750,"")</f>
        <v/>
      </c>
      <c r="E750" s="59"/>
      <c r="F750" s="41"/>
      <c r="G750" s="41"/>
      <c r="H750" s="41"/>
      <c r="I750" s="41"/>
      <c r="J750" s="41"/>
      <c r="K750" s="41"/>
      <c r="L750" s="41"/>
      <c r="M750" s="41"/>
      <c r="N750" s="41"/>
      <c r="O750" s="47"/>
      <c r="P750" s="47"/>
      <c r="Q750" s="47"/>
      <c r="R750" s="34"/>
      <c r="S750" s="8"/>
      <c r="T750" s="8"/>
      <c r="U750" s="8"/>
      <c r="V750" s="8"/>
      <c r="W750" s="8"/>
      <c r="X750" s="8"/>
      <c r="Y750" s="41"/>
      <c r="Z750" s="41"/>
      <c r="AA750" s="41"/>
      <c r="AB750" s="41"/>
      <c r="AC750" s="41"/>
      <c r="AD750" s="41"/>
      <c r="AE750" s="8"/>
      <c r="AF750" s="8"/>
      <c r="AG750" s="505"/>
      <c r="AH750" s="373"/>
      <c r="AI750" s="558"/>
      <c r="AJ750" s="557"/>
      <c r="AK750" s="556"/>
      <c r="AL750" s="556"/>
    </row>
    <row r="751" spans="1:38" ht="13.5" customHeight="1" x14ac:dyDescent="0.2">
      <c r="C751" s="206" t="s">
        <v>487</v>
      </c>
      <c r="D751" s="32"/>
      <c r="E751" s="32"/>
      <c r="F751" s="4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370"/>
      <c r="AH751" s="373"/>
      <c r="AI751" s="558"/>
      <c r="AJ751" s="557"/>
      <c r="AK751" s="556"/>
      <c r="AL751" s="556"/>
    </row>
    <row r="752" spans="1:38" ht="13.5" customHeight="1" x14ac:dyDescent="0.2">
      <c r="C752" s="48" t="s">
        <v>478</v>
      </c>
      <c r="D752" s="47"/>
      <c r="E752" s="63" t="s">
        <v>531</v>
      </c>
      <c r="F752" s="47"/>
      <c r="G752" s="47"/>
      <c r="H752" s="47"/>
      <c r="I752" s="47"/>
      <c r="J752" s="47"/>
      <c r="K752" s="47"/>
      <c r="L752" s="47"/>
      <c r="M752" s="47"/>
      <c r="N752" s="47"/>
      <c r="O752" s="47"/>
      <c r="P752" s="47"/>
      <c r="Q752" s="47"/>
      <c r="R752" s="47"/>
      <c r="S752" s="47"/>
      <c r="T752" s="47"/>
      <c r="U752" s="47"/>
      <c r="V752" s="47"/>
      <c r="W752" s="1541"/>
      <c r="X752" s="1542"/>
      <c r="Y752" s="1542"/>
      <c r="Z752" s="1542"/>
      <c r="AA752" s="1542"/>
      <c r="AB752" s="1543"/>
      <c r="AC752" s="47"/>
      <c r="AD752" s="47"/>
      <c r="AE752" s="47"/>
      <c r="AF752" s="47"/>
      <c r="AG752" s="370"/>
      <c r="AH752" s="373"/>
      <c r="AI752" s="558"/>
      <c r="AJ752" s="557">
        <f>IF(W752&gt;"a",1,IF(A749=1,1,0))</f>
        <v>0</v>
      </c>
      <c r="AK752" s="556">
        <f>IF(AF125="X", IF(AJ752=0,1,2),0)</f>
        <v>0</v>
      </c>
      <c r="AL752" s="556"/>
    </row>
    <row r="753" spans="1:38" ht="3" customHeight="1" x14ac:dyDescent="0.2">
      <c r="C753" s="48"/>
      <c r="D753" s="47"/>
      <c r="E753" s="43"/>
      <c r="F753" s="4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370"/>
      <c r="AH753" s="373"/>
      <c r="AI753" s="558"/>
      <c r="AJ753" s="557"/>
      <c r="AK753" s="556"/>
      <c r="AL753" s="556"/>
    </row>
    <row r="754" spans="1:38" ht="13.5" customHeight="1" x14ac:dyDescent="0.2">
      <c r="B754" s="333">
        <f>IF(U754="X",IF(X754="X",1,0),0)</f>
        <v>0</v>
      </c>
      <c r="C754" s="48" t="s">
        <v>479</v>
      </c>
      <c r="D754" s="47"/>
      <c r="E754" s="48" t="s">
        <v>597</v>
      </c>
      <c r="F754" s="47"/>
      <c r="G754" s="47"/>
      <c r="H754" s="47"/>
      <c r="I754" s="47"/>
      <c r="J754" s="47"/>
      <c r="K754" s="47"/>
      <c r="L754" s="47"/>
      <c r="M754" s="47"/>
      <c r="N754" s="47"/>
      <c r="O754" s="47"/>
      <c r="P754" s="47"/>
      <c r="Q754" s="817"/>
      <c r="R754" s="818"/>
      <c r="S754" s="819"/>
      <c r="T754" s="47"/>
      <c r="U754" s="745"/>
      <c r="V754" s="746"/>
      <c r="W754" s="770"/>
      <c r="X754" s="222"/>
      <c r="Y754" s="253" t="s">
        <v>32</v>
      </c>
      <c r="Z754" s="222"/>
      <c r="AA754" s="216"/>
      <c r="AB754" s="216"/>
      <c r="AC754" s="216"/>
      <c r="AD754" s="216"/>
      <c r="AE754" s="216"/>
      <c r="AF754" s="216"/>
      <c r="AG754" s="370"/>
      <c r="AH754" s="373"/>
      <c r="AI754" s="558"/>
      <c r="AJ754" s="557">
        <f>IF(COUNTBLANK(Q754:Q755)=0, IF(COUNTBLANK(U754:U755)=0,1,0),IF(A749=1,1,0))</f>
        <v>0</v>
      </c>
      <c r="AK754" s="556">
        <f>IF(AF125="X", IF(AJ754=0,1,2),0)</f>
        <v>0</v>
      </c>
      <c r="AL754" s="556"/>
    </row>
    <row r="755" spans="1:38" ht="13.5" customHeight="1" x14ac:dyDescent="0.2">
      <c r="B755" s="333">
        <f>IF(U755="X",IF(X755="X",1,0),0)</f>
        <v>0</v>
      </c>
      <c r="C755" s="48" t="s">
        <v>480</v>
      </c>
      <c r="D755" s="47"/>
      <c r="E755" s="48" t="s">
        <v>546</v>
      </c>
      <c r="F755" s="47"/>
      <c r="G755" s="47"/>
      <c r="H755" s="47"/>
      <c r="I755" s="47"/>
      <c r="J755" s="47"/>
      <c r="K755" s="47"/>
      <c r="L755" s="47"/>
      <c r="M755" s="47"/>
      <c r="N755" s="47"/>
      <c r="O755" s="47"/>
      <c r="P755" s="47"/>
      <c r="Q755" s="817"/>
      <c r="R755" s="818"/>
      <c r="S755" s="819"/>
      <c r="T755" s="47"/>
      <c r="U755" s="745"/>
      <c r="V755" s="746"/>
      <c r="W755" s="770"/>
      <c r="X755" s="222"/>
      <c r="Y755" s="253" t="s">
        <v>32</v>
      </c>
      <c r="Z755" s="222"/>
      <c r="AA755" s="216"/>
      <c r="AB755" s="216"/>
      <c r="AC755" s="216"/>
      <c r="AD755" s="216"/>
      <c r="AE755" s="216"/>
      <c r="AF755" s="216"/>
      <c r="AG755" s="370"/>
      <c r="AH755" s="373"/>
      <c r="AI755" s="558"/>
      <c r="AK755" s="556"/>
      <c r="AL755" s="556"/>
    </row>
    <row r="756" spans="1:38" ht="13.5" customHeight="1" x14ac:dyDescent="0.2">
      <c r="A756" s="560">
        <f>SUM(B754:B756)</f>
        <v>0</v>
      </c>
      <c r="B756" s="333">
        <f>IF(U756="X",IF(X756="X",1,0),0)</f>
        <v>0</v>
      </c>
      <c r="C756" s="48" t="s">
        <v>481</v>
      </c>
      <c r="D756" s="47"/>
      <c r="E756" s="48" t="s">
        <v>304</v>
      </c>
      <c r="F756" s="47"/>
      <c r="G756" s="47"/>
      <c r="H756" s="47"/>
      <c r="I756" s="47"/>
      <c r="J756" s="47"/>
      <c r="K756" s="47"/>
      <c r="L756" s="47"/>
      <c r="M756" s="47"/>
      <c r="N756" s="47"/>
      <c r="O756" s="47"/>
      <c r="P756" s="47"/>
      <c r="Q756" s="817"/>
      <c r="R756" s="818"/>
      <c r="S756" s="819"/>
      <c r="T756" s="47"/>
      <c r="U756" s="745"/>
      <c r="V756" s="746"/>
      <c r="W756" s="770"/>
      <c r="X756" s="222"/>
      <c r="Y756" s="253" t="s">
        <v>32</v>
      </c>
      <c r="Z756" s="222"/>
      <c r="AA756" s="216"/>
      <c r="AB756" s="216"/>
      <c r="AC756" s="216"/>
      <c r="AD756" s="216"/>
      <c r="AE756" s="216"/>
      <c r="AF756" s="216"/>
      <c r="AG756" s="370"/>
      <c r="AH756" s="373"/>
      <c r="AI756" s="558"/>
      <c r="AJ756" s="557"/>
      <c r="AK756" s="556"/>
      <c r="AL756" s="556"/>
    </row>
    <row r="757" spans="1:38" ht="13.5" customHeight="1" x14ac:dyDescent="0.2">
      <c r="C757" s="48" t="s">
        <v>482</v>
      </c>
      <c r="D757" s="47"/>
      <c r="E757" s="109" t="s">
        <v>407</v>
      </c>
      <c r="F757" s="47"/>
      <c r="G757" s="47"/>
      <c r="H757" s="47"/>
      <c r="I757" s="47"/>
      <c r="J757" s="47"/>
      <c r="K757" s="47"/>
      <c r="L757" s="47"/>
      <c r="M757" s="47"/>
      <c r="N757" s="47"/>
      <c r="O757" s="47"/>
      <c r="P757" s="47"/>
      <c r="Q757" s="47"/>
      <c r="R757" s="47"/>
      <c r="S757" s="47"/>
      <c r="T757" s="47"/>
      <c r="U757" s="47"/>
      <c r="V757" s="47"/>
      <c r="W757" s="47"/>
      <c r="X757" s="47"/>
      <c r="Y757" s="47"/>
      <c r="Z757" s="931"/>
      <c r="AA757" s="932"/>
      <c r="AB757" s="933"/>
      <c r="AC757" s="47"/>
      <c r="AD757" s="47"/>
      <c r="AE757" s="47"/>
      <c r="AF757" s="47"/>
      <c r="AG757" s="370"/>
      <c r="AH757" s="373"/>
      <c r="AI757" s="558"/>
      <c r="AJ757" s="557"/>
      <c r="AK757" s="556"/>
      <c r="AL757" s="556"/>
    </row>
    <row r="758" spans="1:38" ht="6" customHeight="1" x14ac:dyDescent="0.2">
      <c r="B758" s="362"/>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14"/>
      <c r="AH758" s="414"/>
      <c r="AI758" s="619"/>
      <c r="AJ758" s="619"/>
      <c r="AK758" s="556"/>
      <c r="AL758" s="556"/>
    </row>
    <row r="759" spans="1:38" ht="12" customHeight="1" x14ac:dyDescent="0.2">
      <c r="C759" s="5" t="s">
        <v>612</v>
      </c>
      <c r="M759" s="44"/>
      <c r="N759" s="44"/>
      <c r="O759" s="44"/>
      <c r="P759" s="44"/>
      <c r="Q759" s="44"/>
      <c r="R759" s="44"/>
      <c r="S759" s="44"/>
      <c r="T759" s="44"/>
      <c r="U759" s="44"/>
      <c r="V759" s="44"/>
      <c r="W759" s="36"/>
      <c r="X759" s="44"/>
      <c r="Y759" s="2"/>
      <c r="Z759" s="2"/>
      <c r="AA759" s="2"/>
      <c r="AB759" s="2"/>
      <c r="AC759" s="2"/>
      <c r="AD759" s="2"/>
      <c r="AE759" s="8"/>
      <c r="AF759" s="8"/>
      <c r="AG759" s="386"/>
      <c r="AH759" s="407"/>
      <c r="AI759" s="558"/>
      <c r="AJ759" s="557"/>
      <c r="AK759" s="556"/>
      <c r="AL759" s="556"/>
    </row>
    <row r="760" spans="1:38" ht="18" customHeight="1" x14ac:dyDescent="0.2">
      <c r="C760" s="191" t="s">
        <v>250</v>
      </c>
      <c r="M760" s="44"/>
      <c r="N760" s="44"/>
      <c r="O760" s="44"/>
      <c r="P760" s="44"/>
      <c r="Q760" s="44"/>
      <c r="R760" s="44"/>
      <c r="S760" s="44"/>
      <c r="T760" s="44"/>
      <c r="U760" s="44"/>
      <c r="V760" s="8"/>
      <c r="W760" s="8"/>
      <c r="X760" s="8"/>
      <c r="Y760" s="8"/>
      <c r="Z760" s="8"/>
      <c r="AA760" s="8"/>
      <c r="AB760" s="8"/>
      <c r="AC760" s="8"/>
      <c r="AD760" s="8"/>
      <c r="AE760" s="8"/>
      <c r="AF760" s="8"/>
      <c r="AG760" s="386"/>
      <c r="AH760" s="373"/>
      <c r="AI760" s="558"/>
      <c r="AJ760" s="557"/>
      <c r="AK760" s="556"/>
      <c r="AL760" s="556"/>
    </row>
    <row r="761" spans="1:38" ht="26.25" customHeight="1" x14ac:dyDescent="0.2">
      <c r="C761" s="1552"/>
      <c r="D761" s="1553"/>
      <c r="E761" s="1553"/>
      <c r="F761" s="1553"/>
      <c r="G761" s="1553"/>
      <c r="H761" s="1553"/>
      <c r="I761" s="1553"/>
      <c r="J761" s="1553"/>
      <c r="K761" s="1553"/>
      <c r="L761" s="1553"/>
      <c r="M761" s="1553"/>
      <c r="N761" s="1553"/>
      <c r="O761" s="1553"/>
      <c r="P761" s="1553"/>
      <c r="Q761" s="1553"/>
      <c r="R761" s="1553"/>
      <c r="S761" s="1553"/>
      <c r="T761" s="1553"/>
      <c r="U761" s="1553"/>
      <c r="V761" s="1553"/>
      <c r="W761" s="1553"/>
      <c r="X761" s="1553"/>
      <c r="Y761" s="1553"/>
      <c r="Z761" s="1553"/>
      <c r="AA761" s="1553"/>
      <c r="AB761" s="1553"/>
      <c r="AC761" s="1553"/>
      <c r="AD761" s="1553"/>
      <c r="AE761" s="1553"/>
      <c r="AF761" s="1554"/>
      <c r="AG761" s="370"/>
      <c r="AH761" s="373"/>
      <c r="AI761" s="558"/>
      <c r="AJ761" s="557"/>
      <c r="AK761" s="556"/>
      <c r="AL761" s="556"/>
    </row>
    <row r="762" spans="1:38" ht="17.25" customHeight="1" x14ac:dyDescent="0.2">
      <c r="A762" s="582"/>
      <c r="C762" s="506" t="s">
        <v>448</v>
      </c>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c r="AA762" s="160"/>
      <c r="AB762" s="160"/>
      <c r="AC762" s="160"/>
      <c r="AD762" s="160"/>
      <c r="AE762" s="160"/>
      <c r="AF762" s="160"/>
      <c r="AG762" s="413"/>
      <c r="AH762" s="413"/>
      <c r="AI762" s="616"/>
      <c r="AJ762" s="557"/>
      <c r="AK762" s="556"/>
      <c r="AL762" s="556"/>
    </row>
    <row r="763" spans="1:38" ht="12.6" customHeight="1" thickBot="1" x14ac:dyDescent="0.25">
      <c r="C763" s="1515" t="s">
        <v>932</v>
      </c>
      <c r="D763" s="1408"/>
      <c r="E763" s="1408"/>
      <c r="F763" s="1408"/>
      <c r="G763" s="1408"/>
      <c r="H763" s="1408"/>
      <c r="I763" s="1408"/>
      <c r="J763" s="1408"/>
      <c r="K763" s="1408"/>
      <c r="L763" s="1409"/>
      <c r="M763" s="1156" t="s">
        <v>305</v>
      </c>
      <c r="N763" s="1157"/>
      <c r="O763" s="1157"/>
      <c r="P763" s="1157"/>
      <c r="Q763" s="1157"/>
      <c r="R763" s="1157"/>
      <c r="S763" s="1157"/>
      <c r="T763" s="1157"/>
      <c r="U763" s="1157"/>
      <c r="V763" s="1415"/>
      <c r="W763" s="1156" t="s">
        <v>306</v>
      </c>
      <c r="X763" s="1157"/>
      <c r="Y763" s="1157"/>
      <c r="Z763" s="1157"/>
      <c r="AA763" s="1157"/>
      <c r="AB763" s="1157"/>
      <c r="AC763" s="1157"/>
      <c r="AD763" s="1157"/>
      <c r="AE763" s="1157"/>
      <c r="AF763" s="1415"/>
      <c r="AG763" s="370"/>
      <c r="AH763" s="373"/>
      <c r="AI763" s="558"/>
      <c r="AJ763" s="557"/>
      <c r="AK763" s="556"/>
      <c r="AL763" s="556"/>
    </row>
    <row r="764" spans="1:38" ht="16.149999999999999" customHeight="1" thickBot="1" x14ac:dyDescent="0.25">
      <c r="C764" s="1547" t="s">
        <v>251</v>
      </c>
      <c r="D764" s="731"/>
      <c r="E764" s="731"/>
      <c r="F764" s="731"/>
      <c r="G764" s="731"/>
      <c r="H764" s="731"/>
      <c r="I764" s="731"/>
      <c r="J764" s="731"/>
      <c r="K764" s="731"/>
      <c r="L764" s="1548"/>
      <c r="M764" s="165"/>
      <c r="N764" s="1532" t="s">
        <v>252</v>
      </c>
      <c r="O764" s="1533"/>
      <c r="P764" s="1533"/>
      <c r="Q764" s="1534"/>
      <c r="R764" s="165"/>
      <c r="S764" s="1509" t="s">
        <v>253</v>
      </c>
      <c r="T764" s="1510"/>
      <c r="U764" s="1510"/>
      <c r="V764" s="1511"/>
      <c r="W764" s="165"/>
      <c r="X764" s="1532" t="s">
        <v>252</v>
      </c>
      <c r="Y764" s="1533"/>
      <c r="Z764" s="1533"/>
      <c r="AA764" s="1534"/>
      <c r="AB764" s="165"/>
      <c r="AC764" s="1509" t="s">
        <v>253</v>
      </c>
      <c r="AD764" s="1510"/>
      <c r="AE764" s="1510"/>
      <c r="AF764" s="1511"/>
      <c r="AG764" s="370"/>
      <c r="AH764" s="373"/>
      <c r="AI764" s="558"/>
      <c r="AJ764" s="557"/>
      <c r="AK764" s="556"/>
      <c r="AL764" s="556"/>
    </row>
    <row r="765" spans="1:38" ht="15.75" customHeight="1" thickBot="1" x14ac:dyDescent="0.25">
      <c r="A765" s="564"/>
      <c r="B765" s="340"/>
      <c r="C765" s="1549"/>
      <c r="D765" s="734"/>
      <c r="E765" s="734"/>
      <c r="F765" s="734"/>
      <c r="G765" s="734"/>
      <c r="H765" s="734"/>
      <c r="I765" s="734"/>
      <c r="J765" s="734"/>
      <c r="K765" s="734"/>
      <c r="L765" s="1550"/>
      <c r="M765" s="165"/>
      <c r="N765" s="1532" t="s">
        <v>254</v>
      </c>
      <c r="O765" s="1533"/>
      <c r="P765" s="1533"/>
      <c r="Q765" s="1534"/>
      <c r="R765" s="165"/>
      <c r="S765" s="1512" t="s">
        <v>255</v>
      </c>
      <c r="T765" s="1513"/>
      <c r="U765" s="1513"/>
      <c r="V765" s="1514"/>
      <c r="W765" s="165"/>
      <c r="X765" s="1532" t="s">
        <v>254</v>
      </c>
      <c r="Y765" s="1533"/>
      <c r="Z765" s="1533"/>
      <c r="AA765" s="1534"/>
      <c r="AB765" s="165"/>
      <c r="AC765" s="1512" t="s">
        <v>255</v>
      </c>
      <c r="AD765" s="1513"/>
      <c r="AE765" s="1513"/>
      <c r="AF765" s="1514"/>
      <c r="AG765" s="370"/>
      <c r="AH765" s="373"/>
      <c r="AI765" s="558"/>
      <c r="AJ765" s="556">
        <f>IF(A749=1,1,IF(A749=3,IF(COUNTA(M764:M765)+COUNTA(R764:R765)+COUNTA(M766:M770)&gt;5,1,0),IF(A749=2,IF(COUNTA(W764:W765)+COUNTA(AB764:AB765)+COUNTA(W766:W770)&gt;5,1,0),0)))</f>
        <v>0</v>
      </c>
      <c r="AK765" s="556">
        <f>IF(AF125="X", IF(AJ765=0,1,2),2)</f>
        <v>2</v>
      </c>
      <c r="AL765" s="556"/>
    </row>
    <row r="766" spans="1:38" ht="18" customHeight="1" x14ac:dyDescent="0.2">
      <c r="A766" s="564"/>
      <c r="B766" s="340"/>
      <c r="C766" s="849" t="s">
        <v>513</v>
      </c>
      <c r="D766" s="1767"/>
      <c r="E766" s="1767"/>
      <c r="F766" s="1767"/>
      <c r="G766" s="1767"/>
      <c r="H766" s="1767"/>
      <c r="I766" s="1767"/>
      <c r="J766" s="1767"/>
      <c r="K766" s="1767"/>
      <c r="L766" s="1768"/>
      <c r="M766" s="1769"/>
      <c r="N766" s="1770"/>
      <c r="O766" s="1770"/>
      <c r="P766" s="1770"/>
      <c r="Q766" s="1770"/>
      <c r="R766" s="1770"/>
      <c r="S766" s="1770"/>
      <c r="T766" s="1770"/>
      <c r="U766" s="1770"/>
      <c r="V766" s="1771"/>
      <c r="W766" s="1769"/>
      <c r="X766" s="1770"/>
      <c r="Y766" s="1770"/>
      <c r="Z766" s="1770"/>
      <c r="AA766" s="1770"/>
      <c r="AB766" s="1770"/>
      <c r="AC766" s="1770"/>
      <c r="AD766" s="1770"/>
      <c r="AE766" s="1770"/>
      <c r="AF766" s="1771"/>
      <c r="AG766" s="370"/>
      <c r="AH766" s="373"/>
      <c r="AI766" s="558"/>
      <c r="AJ766" s="557"/>
      <c r="AK766" s="556"/>
      <c r="AL766" s="556"/>
    </row>
    <row r="767" spans="1:38" ht="18" customHeight="1" x14ac:dyDescent="0.2">
      <c r="A767" s="564"/>
      <c r="B767" s="340"/>
      <c r="C767" s="849" t="s">
        <v>514</v>
      </c>
      <c r="D767" s="1767"/>
      <c r="E767" s="1767"/>
      <c r="F767" s="1767"/>
      <c r="G767" s="1767"/>
      <c r="H767" s="1767"/>
      <c r="I767" s="1767"/>
      <c r="J767" s="1767"/>
      <c r="K767" s="1767"/>
      <c r="L767" s="1768"/>
      <c r="M767" s="835"/>
      <c r="N767" s="836"/>
      <c r="O767" s="836"/>
      <c r="P767" s="836"/>
      <c r="Q767" s="836"/>
      <c r="R767" s="836"/>
      <c r="S767" s="836"/>
      <c r="T767" s="836"/>
      <c r="U767" s="836"/>
      <c r="V767" s="837"/>
      <c r="W767" s="835"/>
      <c r="X767" s="836"/>
      <c r="Y767" s="836"/>
      <c r="Z767" s="836"/>
      <c r="AA767" s="836"/>
      <c r="AB767" s="836"/>
      <c r="AC767" s="836"/>
      <c r="AD767" s="836"/>
      <c r="AE767" s="836"/>
      <c r="AF767" s="837"/>
      <c r="AG767" s="370"/>
      <c r="AH767" s="373"/>
      <c r="AI767" s="558"/>
      <c r="AJ767" s="557"/>
      <c r="AK767" s="556"/>
      <c r="AL767" s="556"/>
    </row>
    <row r="768" spans="1:38" ht="19.899999999999999" customHeight="1" x14ac:dyDescent="0.2">
      <c r="A768" s="564"/>
      <c r="B768" s="340"/>
      <c r="C768" s="247" t="s">
        <v>512</v>
      </c>
      <c r="D768" s="209"/>
      <c r="E768" s="209"/>
      <c r="F768" s="209"/>
      <c r="G768" s="209"/>
      <c r="H768" s="209"/>
      <c r="I768" s="209"/>
      <c r="J768" s="209"/>
      <c r="K768" s="209"/>
      <c r="L768" s="210"/>
      <c r="M768" s="1558"/>
      <c r="N768" s="1559"/>
      <c r="O768" s="1559"/>
      <c r="P768" s="1559"/>
      <c r="Q768" s="1559"/>
      <c r="R768" s="1559"/>
      <c r="S768" s="1559"/>
      <c r="T768" s="1559"/>
      <c r="U768" s="1559"/>
      <c r="V768" s="1560"/>
      <c r="W768" s="1558"/>
      <c r="X768" s="1559"/>
      <c r="Y768" s="1559"/>
      <c r="Z768" s="1559"/>
      <c r="AA768" s="1559"/>
      <c r="AB768" s="1559"/>
      <c r="AC768" s="1559"/>
      <c r="AD768" s="1559"/>
      <c r="AE768" s="1559"/>
      <c r="AF768" s="1560"/>
      <c r="AG768" s="370"/>
      <c r="AH768" s="373"/>
      <c r="AI768" s="558"/>
      <c r="AJ768" s="557"/>
      <c r="AK768" s="556"/>
      <c r="AL768" s="556"/>
    </row>
    <row r="769" spans="1:38" ht="30.6" customHeight="1" x14ac:dyDescent="0.2">
      <c r="A769" s="564"/>
      <c r="B769" s="340"/>
      <c r="C769" s="849" t="s">
        <v>515</v>
      </c>
      <c r="D769" s="1767"/>
      <c r="E769" s="1767"/>
      <c r="F769" s="1767"/>
      <c r="G769" s="1767"/>
      <c r="H769" s="1767"/>
      <c r="I769" s="1767"/>
      <c r="J769" s="1767"/>
      <c r="K769" s="1767"/>
      <c r="L769" s="1768"/>
      <c r="M769" s="835"/>
      <c r="N769" s="836"/>
      <c r="O769" s="836"/>
      <c r="P769" s="836"/>
      <c r="Q769" s="836"/>
      <c r="R769" s="836"/>
      <c r="S769" s="836"/>
      <c r="T769" s="836"/>
      <c r="U769" s="836"/>
      <c r="V769" s="837"/>
      <c r="W769" s="835"/>
      <c r="X769" s="836"/>
      <c r="Y769" s="836"/>
      <c r="Z769" s="836"/>
      <c r="AA769" s="836"/>
      <c r="AB769" s="836"/>
      <c r="AC769" s="836"/>
      <c r="AD769" s="836"/>
      <c r="AE769" s="836"/>
      <c r="AF769" s="837"/>
      <c r="AG769" s="370"/>
      <c r="AH769" s="373"/>
      <c r="AI769" s="558"/>
      <c r="AJ769" s="557"/>
      <c r="AK769" s="556"/>
      <c r="AL769" s="556"/>
    </row>
    <row r="770" spans="1:38" ht="33" customHeight="1" x14ac:dyDescent="0.2">
      <c r="A770" s="564"/>
      <c r="B770" s="340"/>
      <c r="C770" s="849" t="s">
        <v>516</v>
      </c>
      <c r="D770" s="1767"/>
      <c r="E770" s="1767"/>
      <c r="F770" s="1767"/>
      <c r="G770" s="1767"/>
      <c r="H770" s="1767"/>
      <c r="I770" s="1767"/>
      <c r="J770" s="1767"/>
      <c r="K770" s="1767"/>
      <c r="L770" s="1768"/>
      <c r="M770" s="835"/>
      <c r="N770" s="836"/>
      <c r="O770" s="836"/>
      <c r="P770" s="836"/>
      <c r="Q770" s="836"/>
      <c r="R770" s="836"/>
      <c r="S770" s="836"/>
      <c r="T770" s="836"/>
      <c r="U770" s="836"/>
      <c r="V770" s="837"/>
      <c r="W770" s="835"/>
      <c r="X770" s="836"/>
      <c r="Y770" s="836"/>
      <c r="Z770" s="836"/>
      <c r="AA770" s="836"/>
      <c r="AB770" s="836"/>
      <c r="AC770" s="836"/>
      <c r="AD770" s="836"/>
      <c r="AE770" s="836"/>
      <c r="AF770" s="837"/>
      <c r="AG770" s="370"/>
      <c r="AH770" s="373"/>
      <c r="AI770" s="558"/>
      <c r="AJ770" s="557"/>
      <c r="AK770" s="556"/>
      <c r="AL770" s="556"/>
    </row>
    <row r="771" spans="1:38" ht="20.25" customHeight="1" x14ac:dyDescent="0.2">
      <c r="A771" s="564"/>
      <c r="B771" s="340"/>
      <c r="C771" s="52" t="s">
        <v>488</v>
      </c>
      <c r="D771" s="32"/>
      <c r="E771" s="32"/>
      <c r="F771" s="32"/>
      <c r="G771" s="32"/>
      <c r="H771" s="32"/>
      <c r="I771" s="32"/>
      <c r="J771" s="32"/>
      <c r="K771" s="51"/>
      <c r="L771" s="8"/>
      <c r="M771" s="8"/>
      <c r="N771" s="8"/>
      <c r="O771" s="8"/>
      <c r="P771" s="8"/>
      <c r="Q771" s="8"/>
      <c r="R771" s="8"/>
      <c r="S771" s="8"/>
      <c r="T771" s="8"/>
      <c r="U771" s="8"/>
      <c r="V771" s="8"/>
      <c r="W771" s="8"/>
      <c r="X771" s="8"/>
      <c r="Y771" s="8"/>
      <c r="Z771" s="8"/>
      <c r="AA771" s="8"/>
      <c r="AB771" s="8"/>
      <c r="AC771" s="8"/>
      <c r="AD771" s="8"/>
      <c r="AE771" s="222"/>
      <c r="AF771" s="222"/>
      <c r="AG771" s="373"/>
      <c r="AH771" s="373"/>
      <c r="AI771" s="558"/>
      <c r="AJ771" s="557"/>
      <c r="AK771" s="556"/>
      <c r="AL771" s="556"/>
    </row>
    <row r="772" spans="1:38" ht="13.5" customHeight="1" x14ac:dyDescent="0.2">
      <c r="A772" s="564"/>
      <c r="B772" s="340"/>
      <c r="C772" s="48" t="s">
        <v>490</v>
      </c>
      <c r="D772" s="47"/>
      <c r="E772" s="48" t="s">
        <v>360</v>
      </c>
      <c r="F772" s="47"/>
      <c r="G772" s="47"/>
      <c r="H772" s="47"/>
      <c r="I772" s="47"/>
      <c r="J772" s="47"/>
      <c r="K772" s="47"/>
      <c r="L772" s="47"/>
      <c r="M772" s="47"/>
      <c r="N772" s="47"/>
      <c r="O772" s="47"/>
      <c r="P772" s="47"/>
      <c r="Q772" s="47"/>
      <c r="R772" s="47"/>
      <c r="S772" s="47"/>
      <c r="T772" s="47"/>
      <c r="U772" s="47"/>
      <c r="V772" s="47"/>
      <c r="W772" s="34"/>
      <c r="X772" s="34"/>
      <c r="AC772" s="745"/>
      <c r="AD772" s="770"/>
      <c r="AE772" s="106" t="s">
        <v>697</v>
      </c>
      <c r="AF772" s="222"/>
      <c r="AG772" s="419"/>
      <c r="AH772" s="419"/>
      <c r="AI772" s="558"/>
      <c r="AJ772" s="557">
        <f>IF(R749&gt;"a", IF(R749&gt;"P", IF(AC772="Yes",1, IF(AC772="No",1,0)),1),0)</f>
        <v>0</v>
      </c>
      <c r="AK772" s="556">
        <f>IF(AF125="X", IF(AJ772=0,1,2),0)</f>
        <v>0</v>
      </c>
      <c r="AL772" s="556"/>
    </row>
    <row r="773" spans="1:38" ht="2.25" customHeight="1" x14ac:dyDescent="0.2">
      <c r="A773" s="564"/>
      <c r="B773" s="340"/>
      <c r="C773" s="48"/>
      <c r="D773" s="47"/>
      <c r="E773" s="48"/>
      <c r="F773" s="47"/>
      <c r="G773" s="47"/>
      <c r="H773" s="47"/>
      <c r="I773" s="47"/>
      <c r="J773" s="47"/>
      <c r="K773" s="47"/>
      <c r="L773" s="47"/>
      <c r="M773" s="47"/>
      <c r="N773" s="47"/>
      <c r="O773" s="47"/>
      <c r="P773" s="47"/>
      <c r="Q773" s="47"/>
      <c r="R773" s="47"/>
      <c r="S773" s="47"/>
      <c r="T773" s="47"/>
      <c r="U773" s="47"/>
      <c r="V773" s="47"/>
      <c r="W773" s="34"/>
      <c r="X773" s="34"/>
      <c r="AG773" s="419"/>
      <c r="AH773" s="419"/>
      <c r="AI773" s="558"/>
      <c r="AJ773" s="557"/>
      <c r="AK773" s="556"/>
      <c r="AL773" s="556"/>
    </row>
    <row r="774" spans="1:38" ht="13.5" customHeight="1" x14ac:dyDescent="0.2">
      <c r="A774" s="564"/>
      <c r="B774" s="340"/>
      <c r="C774" s="48" t="s">
        <v>491</v>
      </c>
      <c r="D774" s="47"/>
      <c r="E774" s="48" t="s">
        <v>273</v>
      </c>
      <c r="F774" s="47"/>
      <c r="G774" s="47"/>
      <c r="H774" s="47"/>
      <c r="I774" s="47"/>
      <c r="J774" s="47"/>
      <c r="K774" s="47"/>
      <c r="L774" s="47"/>
      <c r="M774" s="47"/>
      <c r="N774" s="47"/>
      <c r="O774" s="47"/>
      <c r="P774" s="47"/>
      <c r="Q774" s="47"/>
      <c r="R774" s="47"/>
      <c r="S774" s="47"/>
      <c r="T774" s="47"/>
      <c r="U774" s="47"/>
      <c r="V774" s="47"/>
      <c r="W774" s="47"/>
      <c r="X774" s="47"/>
      <c r="Y774" s="47"/>
      <c r="Z774" s="47"/>
      <c r="AA774" s="47"/>
      <c r="AB774" s="47"/>
      <c r="AC774" s="745"/>
      <c r="AD774" s="770"/>
      <c r="AE774" s="106" t="s">
        <v>697</v>
      </c>
      <c r="AF774" s="47"/>
      <c r="AG774" s="77"/>
      <c r="AH774" s="419"/>
      <c r="AI774" s="558"/>
      <c r="AJ774" s="557">
        <f>IF(R749&gt;"a", IF(R749&gt;"P", IF(AC774="Yes",1, IF(AC774="No",1,0)),1),0)</f>
        <v>0</v>
      </c>
      <c r="AK774" s="556">
        <f>IF(AF125="X", IF(AJ774=0,1,2),0)</f>
        <v>0</v>
      </c>
      <c r="AL774" s="556"/>
    </row>
    <row r="775" spans="1:38" ht="2.25" customHeight="1" x14ac:dyDescent="0.2">
      <c r="A775" s="564"/>
      <c r="B775" s="340"/>
      <c r="C775" s="48"/>
      <c r="D775" s="47"/>
      <c r="E775" s="48"/>
      <c r="F775" s="4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H775" s="222"/>
      <c r="AI775" s="558"/>
      <c r="AJ775" s="557"/>
      <c r="AK775" s="556"/>
      <c r="AL775" s="556"/>
    </row>
    <row r="776" spans="1:38" ht="12" customHeight="1" x14ac:dyDescent="0.2">
      <c r="A776" s="564"/>
      <c r="B776" s="340"/>
      <c r="C776" s="48" t="s">
        <v>492</v>
      </c>
      <c r="D776" s="47"/>
      <c r="E776" s="48" t="s">
        <v>401</v>
      </c>
      <c r="F776" s="47"/>
      <c r="G776" s="47"/>
      <c r="H776" s="47"/>
      <c r="I776" s="47"/>
      <c r="J776" s="47"/>
      <c r="K776" s="47"/>
      <c r="L776" s="47"/>
      <c r="M776" s="47"/>
      <c r="N776" s="47"/>
      <c r="O776" s="47"/>
      <c r="P776" s="47"/>
      <c r="Q776" s="47"/>
      <c r="R776" s="47"/>
      <c r="S776" s="47"/>
      <c r="T776" s="47"/>
      <c r="U776" s="47"/>
      <c r="V776" s="47"/>
      <c r="W776" s="47"/>
      <c r="X776" s="47"/>
      <c r="Y776" s="47"/>
      <c r="Z776" s="47"/>
      <c r="AA776" s="47"/>
      <c r="AB776" s="47"/>
      <c r="AC776" s="745"/>
      <c r="AD776" s="770"/>
      <c r="AE776" s="106" t="s">
        <v>697</v>
      </c>
      <c r="AH776" s="222"/>
      <c r="AI776" s="558"/>
      <c r="AJ776" s="557">
        <f>IF(R749&gt;"a", IF(R749&gt;"P", IF(AC776="Yes",1, IF(AC776="No",1,0)),1),0)</f>
        <v>0</v>
      </c>
      <c r="AK776" s="556">
        <f>IF(AF125="X", IF(AJ776=0,1,2),0)</f>
        <v>0</v>
      </c>
      <c r="AL776" s="556"/>
    </row>
    <row r="777" spans="1:38" ht="2.25" customHeight="1" x14ac:dyDescent="0.2">
      <c r="A777" s="564"/>
      <c r="B777" s="340"/>
      <c r="C777" s="48"/>
      <c r="D777" s="47"/>
      <c r="E777" s="48"/>
      <c r="F777" s="47"/>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H777" s="222"/>
      <c r="AI777" s="558"/>
      <c r="AJ777" s="557"/>
      <c r="AK777" s="556"/>
      <c r="AL777" s="556"/>
    </row>
    <row r="778" spans="1:38" ht="13.5" customHeight="1" x14ac:dyDescent="0.2">
      <c r="A778" s="564"/>
      <c r="B778" s="340"/>
      <c r="C778" s="48"/>
      <c r="D778" s="47"/>
      <c r="E778" s="109"/>
      <c r="F778" s="507" t="s">
        <v>392</v>
      </c>
      <c r="G778" s="155" t="s">
        <v>393</v>
      </c>
      <c r="H778" s="47"/>
      <c r="I778" s="47"/>
      <c r="J778" s="47"/>
      <c r="K778" s="47"/>
      <c r="L778" s="47"/>
      <c r="M778" s="47"/>
      <c r="N778" s="47"/>
      <c r="O778" s="47"/>
      <c r="P778" s="790"/>
      <c r="Q778" s="791"/>
      <c r="R778" s="791"/>
      <c r="S778" s="791"/>
      <c r="T778" s="791"/>
      <c r="U778" s="791"/>
      <c r="V778" s="791"/>
      <c r="W778" s="791"/>
      <c r="X778" s="791"/>
      <c r="Y778" s="791"/>
      <c r="Z778" s="791"/>
      <c r="AA778" s="791"/>
      <c r="AB778" s="791"/>
      <c r="AC778" s="791"/>
      <c r="AD778" s="791"/>
      <c r="AE778" s="791"/>
      <c r="AF778" s="791"/>
      <c r="AG778" s="792"/>
      <c r="AH778" s="222"/>
      <c r="AI778" s="558"/>
      <c r="AJ778" s="557"/>
      <c r="AK778" s="556"/>
      <c r="AL778" s="556"/>
    </row>
    <row r="779" spans="1:38" ht="2.25" customHeight="1" x14ac:dyDescent="0.2">
      <c r="A779" s="564"/>
      <c r="B779" s="340"/>
      <c r="C779" s="48"/>
      <c r="D779" s="47"/>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c r="AA779" s="109"/>
      <c r="AB779" s="109"/>
      <c r="AC779" s="109"/>
      <c r="AD779" s="109"/>
      <c r="AE779" s="109"/>
      <c r="AF779" s="109"/>
      <c r="AG779" s="109"/>
      <c r="AH779" s="222"/>
      <c r="AI779" s="558"/>
      <c r="AJ779" s="557"/>
      <c r="AK779" s="556"/>
      <c r="AL779" s="556"/>
    </row>
    <row r="780" spans="1:38" ht="12.75" customHeight="1" x14ac:dyDescent="0.2">
      <c r="C780" s="48" t="s">
        <v>493</v>
      </c>
      <c r="D780" s="47"/>
      <c r="E780" s="48" t="s">
        <v>150</v>
      </c>
      <c r="F780" s="47"/>
      <c r="G780" s="47"/>
      <c r="H780" s="47"/>
      <c r="I780" s="47"/>
      <c r="J780" s="47"/>
      <c r="K780" s="47"/>
      <c r="L780" s="47"/>
      <c r="M780" s="47"/>
      <c r="N780" s="47"/>
      <c r="O780" s="47"/>
      <c r="P780" s="47"/>
      <c r="Q780" s="47"/>
      <c r="R780" s="47"/>
      <c r="S780" s="47"/>
      <c r="T780" s="47"/>
      <c r="U780" s="47"/>
      <c r="V780" s="47"/>
      <c r="W780" s="34"/>
      <c r="X780" s="34"/>
      <c r="AC780" s="745"/>
      <c r="AD780" s="770"/>
      <c r="AE780" s="106" t="s">
        <v>697</v>
      </c>
      <c r="AF780" s="222"/>
      <c r="AG780" s="109"/>
      <c r="AH780" s="222"/>
      <c r="AI780" s="558"/>
      <c r="AJ780" s="557">
        <f>IF(R749&gt;"a", IF(R749&gt;"P", IF(AC780="Yes",1, IF(AC780="No",1,0)),1),0)</f>
        <v>0</v>
      </c>
      <c r="AK780" s="556">
        <f>IF(AF125="X", IF(AJ780=0,1,2),0)</f>
        <v>0</v>
      </c>
      <c r="AL780" s="556"/>
    </row>
    <row r="781" spans="1:38" ht="2.25" customHeight="1" x14ac:dyDescent="0.2">
      <c r="C781" s="48"/>
      <c r="D781" s="47"/>
      <c r="E781" s="48"/>
      <c r="F781" s="47"/>
      <c r="G781" s="47"/>
      <c r="H781" s="47"/>
      <c r="I781" s="47"/>
      <c r="J781" s="47"/>
      <c r="K781" s="47"/>
      <c r="L781" s="47"/>
      <c r="M781" s="47"/>
      <c r="N781" s="47"/>
      <c r="O781" s="47"/>
      <c r="P781" s="47"/>
      <c r="Q781" s="47"/>
      <c r="R781" s="47"/>
      <c r="S781" s="47"/>
      <c r="T781" s="47"/>
      <c r="U781" s="47"/>
      <c r="V781" s="47"/>
      <c r="W781" s="34"/>
      <c r="X781" s="34"/>
      <c r="AG781" s="109"/>
      <c r="AH781" s="222"/>
      <c r="AI781" s="558"/>
      <c r="AJ781" s="557"/>
      <c r="AK781" s="556"/>
      <c r="AL781" s="556"/>
    </row>
    <row r="782" spans="1:38" ht="12.75" customHeight="1" x14ac:dyDescent="0.2">
      <c r="C782" s="48"/>
      <c r="D782" s="47"/>
      <c r="E782" s="202"/>
      <c r="F782" s="508" t="s">
        <v>392</v>
      </c>
      <c r="G782" s="326" t="s">
        <v>274</v>
      </c>
      <c r="H782" s="155"/>
      <c r="I782" s="32"/>
      <c r="J782" s="32"/>
      <c r="K782" s="51"/>
      <c r="L782" s="8"/>
      <c r="M782" s="8"/>
      <c r="N782" s="8"/>
      <c r="O782" s="8"/>
      <c r="P782" s="8"/>
      <c r="Q782" s="8"/>
      <c r="R782" s="8"/>
      <c r="S782" s="8"/>
      <c r="T782" s="8"/>
      <c r="U782" s="8"/>
      <c r="V782" s="8"/>
      <c r="W782" s="8"/>
      <c r="X782" s="8"/>
      <c r="Y782" s="8"/>
      <c r="Z782" s="8"/>
      <c r="AA782" s="8"/>
      <c r="AB782" s="8"/>
      <c r="AC782" s="1472"/>
      <c r="AD782" s="1472"/>
      <c r="AE782" s="480" t="s">
        <v>697</v>
      </c>
      <c r="AF782" s="47"/>
      <c r="AG782" s="109"/>
      <c r="AH782" s="222"/>
      <c r="AI782" s="558"/>
      <c r="AJ782" s="557"/>
      <c r="AK782" s="556"/>
      <c r="AL782" s="556"/>
    </row>
    <row r="783" spans="1:38" ht="15" customHeight="1" x14ac:dyDescent="0.2">
      <c r="C783" s="48" t="s">
        <v>494</v>
      </c>
      <c r="D783" s="47"/>
      <c r="E783" s="48" t="s">
        <v>1091</v>
      </c>
      <c r="F783" s="47"/>
      <c r="G783" s="47"/>
      <c r="H783" s="47"/>
      <c r="I783" s="47"/>
      <c r="J783" s="47"/>
      <c r="K783" s="47"/>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504"/>
      <c r="AI783" s="558"/>
      <c r="AJ783" s="557"/>
      <c r="AK783" s="556"/>
      <c r="AL783" s="556"/>
    </row>
    <row r="784" spans="1:38" ht="33" customHeight="1" x14ac:dyDescent="0.2">
      <c r="C784" s="68"/>
      <c r="D784" s="47"/>
      <c r="E784" s="944"/>
      <c r="F784" s="945"/>
      <c r="G784" s="945"/>
      <c r="H784" s="945"/>
      <c r="I784" s="945"/>
      <c r="J784" s="945"/>
      <c r="K784" s="945"/>
      <c r="L784" s="945"/>
      <c r="M784" s="945"/>
      <c r="N784" s="945"/>
      <c r="O784" s="945"/>
      <c r="P784" s="945"/>
      <c r="Q784" s="945"/>
      <c r="R784" s="945"/>
      <c r="S784" s="945"/>
      <c r="T784" s="945"/>
      <c r="U784" s="945"/>
      <c r="V784" s="945"/>
      <c r="W784" s="945"/>
      <c r="X784" s="945"/>
      <c r="Y784" s="945"/>
      <c r="Z784" s="945"/>
      <c r="AA784" s="945"/>
      <c r="AB784" s="945"/>
      <c r="AC784" s="945"/>
      <c r="AD784" s="945"/>
      <c r="AE784" s="1474"/>
      <c r="AF784" s="41"/>
      <c r="AG784" s="41"/>
      <c r="AH784" s="504"/>
      <c r="AI784" s="558"/>
      <c r="AJ784" s="557"/>
      <c r="AK784" s="556"/>
      <c r="AL784" s="556"/>
    </row>
    <row r="785" spans="1:38" ht="2.25" customHeight="1" x14ac:dyDescent="0.2">
      <c r="C785" s="48"/>
      <c r="D785" s="47"/>
      <c r="E785" s="47"/>
      <c r="F785" s="47"/>
      <c r="G785" s="47"/>
      <c r="H785" s="47"/>
      <c r="I785" s="47"/>
      <c r="J785" s="47"/>
      <c r="K785" s="47"/>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504"/>
      <c r="AI785" s="558"/>
      <c r="AJ785" s="557"/>
      <c r="AK785" s="556"/>
      <c r="AL785" s="556"/>
    </row>
    <row r="786" spans="1:38" ht="14.25" customHeight="1" x14ac:dyDescent="0.2">
      <c r="C786" s="68" t="s">
        <v>1090</v>
      </c>
      <c r="D786" s="69"/>
      <c r="E786" s="68" t="s">
        <v>395</v>
      </c>
      <c r="F786" s="69"/>
      <c r="G786" s="69"/>
      <c r="H786" s="69"/>
      <c r="I786" s="69"/>
      <c r="J786" s="69"/>
      <c r="K786" s="69"/>
      <c r="L786" s="50"/>
      <c r="M786" s="50"/>
      <c r="N786" s="50"/>
      <c r="O786" s="50"/>
      <c r="P786" s="50"/>
      <c r="Q786" s="50"/>
      <c r="R786" s="50"/>
      <c r="S786" s="50"/>
      <c r="T786" s="41"/>
      <c r="U786" s="41"/>
      <c r="V786" s="47"/>
      <c r="W786" s="41"/>
      <c r="X786" s="41"/>
      <c r="Y786" s="41"/>
      <c r="Z786" s="41"/>
      <c r="AA786" s="41"/>
      <c r="AB786" s="41"/>
      <c r="AC786" s="41"/>
      <c r="AD786" s="41"/>
      <c r="AE786" s="504"/>
      <c r="AF786" s="504"/>
      <c r="AG786" s="41"/>
      <c r="AH786" s="198" t="s">
        <v>685</v>
      </c>
      <c r="AI786" s="558"/>
      <c r="AJ786" s="557"/>
      <c r="AK786" s="556"/>
      <c r="AL786" s="556"/>
    </row>
    <row r="787" spans="1:38" ht="19.5" customHeight="1" x14ac:dyDescent="0.2">
      <c r="A787" s="562">
        <f>IF(COUNTIF(V788:Z794,"Yes")&gt;0,1, IF(COUNTIF(V788:Z794,"No")&gt;0,1,0))</f>
        <v>0</v>
      </c>
      <c r="B787" s="333">
        <f>IF(COUNTIF(AA788:AE794,"Yes")&gt;0,1, IF(COUNTIF(AA788:AE794,"No")&gt;0,1,0))</f>
        <v>0</v>
      </c>
      <c r="C787" s="47"/>
      <c r="D787" s="47"/>
      <c r="E787" s="1764" t="s">
        <v>365</v>
      </c>
      <c r="F787" s="1765"/>
      <c r="G787" s="1765"/>
      <c r="H787" s="1765"/>
      <c r="I787" s="1765"/>
      <c r="J787" s="1765"/>
      <c r="K787" s="1765"/>
      <c r="L787" s="1765"/>
      <c r="M787" s="1765"/>
      <c r="N787" s="1765"/>
      <c r="O787" s="1765"/>
      <c r="P787" s="1765"/>
      <c r="Q787" s="1765"/>
      <c r="R787" s="1765"/>
      <c r="S787" s="1765"/>
      <c r="T787" s="1765"/>
      <c r="U787" s="1766"/>
      <c r="V787" s="1764" t="s">
        <v>367</v>
      </c>
      <c r="W787" s="1765"/>
      <c r="X787" s="1765"/>
      <c r="Y787" s="1765"/>
      <c r="Z787" s="1766"/>
      <c r="AA787" s="1764" t="s">
        <v>366</v>
      </c>
      <c r="AB787" s="1765"/>
      <c r="AC787" s="1765"/>
      <c r="AD787" s="1765"/>
      <c r="AE787" s="1766"/>
      <c r="AF787" s="49"/>
      <c r="AG787" s="49"/>
      <c r="AH787" s="255"/>
      <c r="AI787" s="558"/>
      <c r="AJ787" s="557"/>
      <c r="AK787" s="556"/>
      <c r="AL787" s="556"/>
    </row>
    <row r="788" spans="1:38" ht="24" customHeight="1" x14ac:dyDescent="0.2">
      <c r="A788" s="562"/>
      <c r="C788" s="47"/>
      <c r="D788" s="47"/>
      <c r="E788" s="1761" t="s">
        <v>925</v>
      </c>
      <c r="F788" s="1762"/>
      <c r="G788" s="1762"/>
      <c r="H788" s="1762"/>
      <c r="I788" s="1763"/>
      <c r="J788" s="1475" t="s">
        <v>674</v>
      </c>
      <c r="K788" s="1476"/>
      <c r="L788" s="1476"/>
      <c r="M788" s="1476"/>
      <c r="N788" s="1476"/>
      <c r="O788" s="1476"/>
      <c r="P788" s="1476"/>
      <c r="Q788" s="1476"/>
      <c r="R788" s="1476"/>
      <c r="S788" s="1476"/>
      <c r="T788" s="1476"/>
      <c r="U788" s="1477"/>
      <c r="V788" s="944"/>
      <c r="W788" s="945"/>
      <c r="X788" s="945"/>
      <c r="Y788" s="945"/>
      <c r="Z788" s="1474"/>
      <c r="AA788" s="1772"/>
      <c r="AB788" s="945"/>
      <c r="AC788" s="945"/>
      <c r="AD788" s="945"/>
      <c r="AE788" s="1474"/>
      <c r="AF788" s="49"/>
      <c r="AG788" s="109"/>
      <c r="AH788" s="255"/>
      <c r="AI788" s="558"/>
      <c r="AJ788" s="557">
        <f>IF(R749&gt;"a", IF(R749&gt;"P", IF(V788&gt;"a",1,0),1),0)</f>
        <v>0</v>
      </c>
      <c r="AK788" s="556">
        <f>IF(AF125="X", IF(AJ788=0,1,2),0)</f>
        <v>0</v>
      </c>
      <c r="AL788" s="556"/>
    </row>
    <row r="789" spans="1:38" ht="15.75" customHeight="1" x14ac:dyDescent="0.2">
      <c r="A789" s="562"/>
      <c r="C789" s="47"/>
      <c r="D789" s="47"/>
      <c r="E789" s="1786" t="s">
        <v>364</v>
      </c>
      <c r="F789" s="1787"/>
      <c r="G789" s="1787"/>
      <c r="H789" s="1787"/>
      <c r="I789" s="1788"/>
      <c r="J789" s="195"/>
      <c r="K789" s="195"/>
      <c r="L789" s="195"/>
      <c r="M789" s="195"/>
      <c r="N789" s="195"/>
      <c r="O789" s="195"/>
      <c r="P789" s="195"/>
      <c r="Q789" s="195"/>
      <c r="R789" s="195"/>
      <c r="S789" s="195"/>
      <c r="T789" s="195"/>
      <c r="U789" s="195" t="s">
        <v>394</v>
      </c>
      <c r="V789" s="1469"/>
      <c r="W789" s="1470"/>
      <c r="X789" s="1470"/>
      <c r="Y789" s="1470"/>
      <c r="Z789" s="1798"/>
      <c r="AA789" s="1469"/>
      <c r="AB789" s="1470"/>
      <c r="AC789" s="1470"/>
      <c r="AD789" s="1470"/>
      <c r="AE789" s="1471"/>
      <c r="AF789" s="49"/>
      <c r="AG789" s="49"/>
      <c r="AH789" s="255"/>
      <c r="AI789" s="558"/>
      <c r="AJ789" s="557">
        <f>IF(R749&gt;"a", IF(R749&gt;"P", IF(COUNTBLANK(V789:V794)=0,1,0),1),0)</f>
        <v>0</v>
      </c>
      <c r="AK789" s="556">
        <f>IF(AF125="X", IF(AJ789=0,1,2),0)</f>
        <v>0</v>
      </c>
      <c r="AL789" s="556"/>
    </row>
    <row r="790" spans="1:38" ht="15.75" customHeight="1" x14ac:dyDescent="0.2">
      <c r="A790" s="562"/>
      <c r="C790" s="47"/>
      <c r="D790" s="47"/>
      <c r="E790" s="1789"/>
      <c r="F790" s="1790"/>
      <c r="G790" s="1790"/>
      <c r="H790" s="1790"/>
      <c r="I790" s="1791"/>
      <c r="J790" s="195"/>
      <c r="K790" s="195"/>
      <c r="L790" s="195"/>
      <c r="M790" s="195"/>
      <c r="N790" s="195"/>
      <c r="O790" s="195"/>
      <c r="P790" s="195"/>
      <c r="Q790" s="195"/>
      <c r="R790" s="195"/>
      <c r="S790" s="195"/>
      <c r="T790" s="195"/>
      <c r="U790" s="195" t="s">
        <v>436</v>
      </c>
      <c r="V790" s="1469"/>
      <c r="W790" s="1470"/>
      <c r="X790" s="1470"/>
      <c r="Y790" s="1470"/>
      <c r="Z790" s="1471"/>
      <c r="AA790" s="1469"/>
      <c r="AB790" s="1470"/>
      <c r="AC790" s="1470"/>
      <c r="AD790" s="1470"/>
      <c r="AE790" s="1471"/>
      <c r="AF790" s="49"/>
      <c r="AG790" s="49"/>
      <c r="AH790" s="255"/>
      <c r="AI790" s="558"/>
      <c r="AK790" s="556"/>
      <c r="AL790" s="556"/>
    </row>
    <row r="791" spans="1:38" ht="15.75" customHeight="1" x14ac:dyDescent="0.2">
      <c r="A791" s="562"/>
      <c r="C791" s="47"/>
      <c r="D791" s="47"/>
      <c r="E791" s="1789"/>
      <c r="F791" s="1790"/>
      <c r="G791" s="1790"/>
      <c r="H791" s="1790"/>
      <c r="I791" s="1791"/>
      <c r="J791" s="195"/>
      <c r="K791" s="195"/>
      <c r="L791" s="195"/>
      <c r="M791" s="195"/>
      <c r="N791" s="195"/>
      <c r="O791" s="195"/>
      <c r="P791" s="195"/>
      <c r="Q791" s="195"/>
      <c r="R791" s="195"/>
      <c r="S791" s="195"/>
      <c r="T791" s="195"/>
      <c r="U791" s="195" t="s">
        <v>361</v>
      </c>
      <c r="V791" s="1469"/>
      <c r="W791" s="1470"/>
      <c r="X791" s="1470"/>
      <c r="Y791" s="1470"/>
      <c r="Z791" s="1471"/>
      <c r="AA791" s="1469"/>
      <c r="AB791" s="1470"/>
      <c r="AC791" s="1470"/>
      <c r="AD791" s="1470"/>
      <c r="AE791" s="1471"/>
      <c r="AF791" s="49"/>
      <c r="AG791" s="49"/>
      <c r="AH791" s="255"/>
      <c r="AI791" s="558"/>
      <c r="AK791" s="556"/>
      <c r="AL791" s="556"/>
    </row>
    <row r="792" spans="1:38" ht="15.75" customHeight="1" x14ac:dyDescent="0.2">
      <c r="A792" s="562"/>
      <c r="C792" s="47"/>
      <c r="D792" s="47"/>
      <c r="E792" s="1789"/>
      <c r="F792" s="1790"/>
      <c r="G792" s="1790"/>
      <c r="H792" s="1790"/>
      <c r="I792" s="1791"/>
      <c r="J792" s="195"/>
      <c r="K792" s="195"/>
      <c r="L792" s="195"/>
      <c r="M792" s="195"/>
      <c r="N792" s="195"/>
      <c r="O792" s="195"/>
      <c r="P792" s="195"/>
      <c r="Q792" s="195"/>
      <c r="R792" s="195"/>
      <c r="S792" s="195"/>
      <c r="T792" s="195"/>
      <c r="U792" s="195" t="s">
        <v>368</v>
      </c>
      <c r="V792" s="1469"/>
      <c r="W792" s="1470"/>
      <c r="X792" s="1470"/>
      <c r="Y792" s="1470"/>
      <c r="Z792" s="1471"/>
      <c r="AA792" s="1469"/>
      <c r="AB792" s="1470"/>
      <c r="AC792" s="1470"/>
      <c r="AD792" s="1470"/>
      <c r="AE792" s="1471"/>
      <c r="AF792" s="49"/>
      <c r="AG792" s="49"/>
      <c r="AH792" s="253"/>
      <c r="AI792" s="558"/>
      <c r="AJ792" s="557"/>
      <c r="AK792" s="556"/>
      <c r="AL792" s="556"/>
    </row>
    <row r="793" spans="1:38" ht="15.75" customHeight="1" x14ac:dyDescent="0.2">
      <c r="A793" s="562"/>
      <c r="C793" s="47"/>
      <c r="D793" s="47"/>
      <c r="E793" s="1789"/>
      <c r="F793" s="1790"/>
      <c r="G793" s="1790"/>
      <c r="H793" s="1790"/>
      <c r="I793" s="1791"/>
      <c r="J793" s="195"/>
      <c r="K793" s="195"/>
      <c r="L793" s="195"/>
      <c r="M793" s="195"/>
      <c r="N793" s="195"/>
      <c r="O793" s="195"/>
      <c r="P793" s="195"/>
      <c r="Q793" s="195"/>
      <c r="R793" s="195"/>
      <c r="S793" s="195"/>
      <c r="T793" s="195"/>
      <c r="U793" s="195" t="s">
        <v>363</v>
      </c>
      <c r="V793" s="1469"/>
      <c r="W793" s="1470"/>
      <c r="X793" s="1470"/>
      <c r="Y793" s="1470"/>
      <c r="Z793" s="1471"/>
      <c r="AA793" s="1469"/>
      <c r="AB793" s="1470"/>
      <c r="AC793" s="1470"/>
      <c r="AD793" s="1470"/>
      <c r="AE793" s="1471"/>
      <c r="AF793" s="49"/>
      <c r="AG793" s="49"/>
      <c r="AH793" s="222"/>
      <c r="AI793" s="558"/>
      <c r="AJ793" s="557"/>
      <c r="AK793" s="556"/>
      <c r="AL793" s="556"/>
    </row>
    <row r="794" spans="1:38" ht="15.75" customHeight="1" x14ac:dyDescent="0.2">
      <c r="A794" s="562">
        <f>IF(V794="Yes",1,IF(AA794="Yes",1,0))</f>
        <v>0</v>
      </c>
      <c r="C794" s="47"/>
      <c r="D794" s="47"/>
      <c r="E794" s="1789"/>
      <c r="F794" s="1790"/>
      <c r="G794" s="1790"/>
      <c r="H794" s="1790"/>
      <c r="I794" s="1791"/>
      <c r="J794" s="195"/>
      <c r="K794" s="195"/>
      <c r="L794" s="195"/>
      <c r="M794" s="195"/>
      <c r="N794" s="195"/>
      <c r="O794" s="195"/>
      <c r="P794" s="195"/>
      <c r="Q794" s="195"/>
      <c r="R794" s="195"/>
      <c r="S794" s="195"/>
      <c r="T794" s="195"/>
      <c r="U794" s="195" t="s">
        <v>362</v>
      </c>
      <c r="V794" s="1469"/>
      <c r="W794" s="1470"/>
      <c r="X794" s="1470"/>
      <c r="Y794" s="1470"/>
      <c r="Z794" s="1471"/>
      <c r="AA794" s="1469"/>
      <c r="AB794" s="1470"/>
      <c r="AC794" s="1470"/>
      <c r="AD794" s="1470"/>
      <c r="AE794" s="1471"/>
      <c r="AF794" s="49"/>
      <c r="AG794" s="49"/>
      <c r="AH794" s="222"/>
      <c r="AI794" s="556"/>
      <c r="AK794" s="556"/>
      <c r="AL794" s="556"/>
    </row>
    <row r="795" spans="1:38" ht="15.75" customHeight="1" x14ac:dyDescent="0.2">
      <c r="A795" s="562" t="s">
        <v>166</v>
      </c>
      <c r="C795" s="47"/>
      <c r="D795" s="47"/>
      <c r="E795" s="1789"/>
      <c r="F795" s="1790"/>
      <c r="G795" s="1790"/>
      <c r="H795" s="1790"/>
      <c r="I795" s="1791"/>
      <c r="J795" s="1495" t="str">
        <f>IF(V794="Yes", A795, IF(AA794="Yes",A795,""))</f>
        <v/>
      </c>
      <c r="K795" s="1496"/>
      <c r="L795" s="1496"/>
      <c r="M795" s="1496"/>
      <c r="N795" s="1496"/>
      <c r="O795" s="1496"/>
      <c r="P795" s="1496"/>
      <c r="Q795" s="1497"/>
      <c r="R795" s="1497"/>
      <c r="S795" s="1497"/>
      <c r="T795" s="1497"/>
      <c r="U795" s="1498"/>
      <c r="V795" s="1785"/>
      <c r="W795" s="1545"/>
      <c r="X795" s="1545"/>
      <c r="Y795" s="1545"/>
      <c r="Z795" s="1546"/>
      <c r="AA795" s="1544"/>
      <c r="AB795" s="1545"/>
      <c r="AC795" s="1545"/>
      <c r="AD795" s="1545"/>
      <c r="AE795" s="1546"/>
      <c r="AF795" s="49"/>
      <c r="AG795" s="49"/>
      <c r="AH795" s="222"/>
      <c r="AI795" s="556"/>
      <c r="AK795" s="556"/>
      <c r="AL795" s="556"/>
    </row>
    <row r="796" spans="1:38" ht="18" customHeight="1" x14ac:dyDescent="0.2">
      <c r="A796" s="562"/>
      <c r="C796" s="47"/>
      <c r="D796" s="47"/>
      <c r="E796" s="1792"/>
      <c r="F796" s="1793"/>
      <c r="G796" s="1793"/>
      <c r="H796" s="1793"/>
      <c r="I796" s="1794"/>
      <c r="J796" s="1795" t="s">
        <v>148</v>
      </c>
      <c r="K796" s="1796"/>
      <c r="L796" s="1796"/>
      <c r="M796" s="1796"/>
      <c r="N796" s="1796"/>
      <c r="O796" s="1796"/>
      <c r="P796" s="1796"/>
      <c r="Q796" s="1796"/>
      <c r="R796" s="1796"/>
      <c r="S796" s="1796"/>
      <c r="T796" s="1796"/>
      <c r="U796" s="1797"/>
      <c r="V796" s="1782"/>
      <c r="W796" s="1783"/>
      <c r="X796" s="1783"/>
      <c r="Y796" s="1783"/>
      <c r="Z796" s="1784"/>
      <c r="AA796" s="1782"/>
      <c r="AB796" s="1783"/>
      <c r="AC796" s="1783"/>
      <c r="AD796" s="1783"/>
      <c r="AE796" s="1784"/>
      <c r="AF796" s="49"/>
      <c r="AG796" s="49"/>
      <c r="AH796" s="222"/>
      <c r="AI796" s="556"/>
      <c r="AJ796" s="557">
        <f>IF(R749&gt;"a", IF(R42&gt;"P", IF(V796&gt;"a",1,0),1),0)</f>
        <v>0</v>
      </c>
      <c r="AK796" s="556">
        <f>IF(AF125="X", IF(AJ796=0,1,2),0)</f>
        <v>0</v>
      </c>
      <c r="AL796" s="556"/>
    </row>
    <row r="797" spans="1:38" ht="16.5" customHeight="1" x14ac:dyDescent="0.2">
      <c r="A797" s="562"/>
      <c r="C797" s="47"/>
      <c r="D797" s="47"/>
      <c r="E797" s="1761" t="s">
        <v>398</v>
      </c>
      <c r="F797" s="1762"/>
      <c r="G797" s="1762"/>
      <c r="H797" s="1762"/>
      <c r="I797" s="1763"/>
      <c r="J797" s="1475" t="s">
        <v>399</v>
      </c>
      <c r="K797" s="1476"/>
      <c r="L797" s="1476"/>
      <c r="M797" s="1476"/>
      <c r="N797" s="1476"/>
      <c r="O797" s="1476"/>
      <c r="P797" s="1476"/>
      <c r="Q797" s="1476"/>
      <c r="R797" s="1476"/>
      <c r="S797" s="1476"/>
      <c r="T797" s="1476"/>
      <c r="U797" s="1477"/>
      <c r="V797" s="1479"/>
      <c r="W797" s="1480"/>
      <c r="X797" s="1480"/>
      <c r="Y797" s="1480"/>
      <c r="Z797" s="1481"/>
      <c r="AA797" s="1479"/>
      <c r="AB797" s="1480"/>
      <c r="AC797" s="1480"/>
      <c r="AD797" s="1480"/>
      <c r="AE797" s="1481"/>
      <c r="AF797" s="222"/>
      <c r="AG797" s="49"/>
      <c r="AH797" s="222"/>
      <c r="AI797" s="556"/>
      <c r="AJ797" s="557">
        <f>IF(R749&gt;"a", IF(R42&gt;"P", IF(V797&gt;"a",1,0),1),0)</f>
        <v>0</v>
      </c>
      <c r="AK797" s="556">
        <f>IF(AF125="X", IF(AJ797=0,1,2),0)</f>
        <v>0</v>
      </c>
      <c r="AL797" s="556"/>
    </row>
    <row r="798" spans="1:38" ht="3.75" customHeight="1" x14ac:dyDescent="0.2">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c r="AA798" s="160"/>
      <c r="AB798" s="160"/>
      <c r="AC798" s="160"/>
      <c r="AD798" s="160"/>
      <c r="AE798" s="160"/>
      <c r="AF798" s="160"/>
      <c r="AG798" s="160"/>
      <c r="AH798" s="104"/>
      <c r="AI798" s="558"/>
      <c r="AJ798" s="557"/>
      <c r="AK798" s="556"/>
      <c r="AL798" s="556"/>
    </row>
    <row r="799" spans="1:38" ht="15" customHeight="1" x14ac:dyDescent="0.2">
      <c r="C799" s="222"/>
      <c r="D799" s="222"/>
      <c r="E799" s="1486" t="s">
        <v>400</v>
      </c>
      <c r="F799" s="1487"/>
      <c r="G799" s="1487"/>
      <c r="H799" s="1487"/>
      <c r="I799" s="1488"/>
      <c r="J799" s="1475" t="s">
        <v>1014</v>
      </c>
      <c r="K799" s="1476"/>
      <c r="L799" s="1476"/>
      <c r="M799" s="1476"/>
      <c r="N799" s="1476"/>
      <c r="O799" s="1476"/>
      <c r="P799" s="1476"/>
      <c r="Q799" s="1476"/>
      <c r="R799" s="1476"/>
      <c r="S799" s="1476"/>
      <c r="T799" s="1476"/>
      <c r="U799" s="1477"/>
      <c r="V799" s="1483"/>
      <c r="W799" s="1484"/>
      <c r="X799" s="1484"/>
      <c r="Y799" s="1484"/>
      <c r="Z799" s="1485"/>
      <c r="AA799" s="1483"/>
      <c r="AB799" s="1484"/>
      <c r="AC799" s="1484"/>
      <c r="AD799" s="1484"/>
      <c r="AE799" s="1485"/>
      <c r="AF799" s="222"/>
      <c r="AG799" s="222"/>
      <c r="AH799" s="222"/>
      <c r="AI799" s="558"/>
      <c r="AJ799" s="557">
        <f>IF(R749&gt;"a", IF(R749&gt;"P", IF(COUNTBLANK(V799:V801)=0,1,0),1),0)</f>
        <v>0</v>
      </c>
      <c r="AK799" s="556">
        <f>IF(AF125="X", IF(AJ799=0,1,2),0)</f>
        <v>0</v>
      </c>
      <c r="AL799" s="556"/>
    </row>
    <row r="800" spans="1:38" ht="15" customHeight="1" x14ac:dyDescent="0.2">
      <c r="C800" s="222"/>
      <c r="D800" s="222"/>
      <c r="E800" s="1489"/>
      <c r="F800" s="1490"/>
      <c r="G800" s="1490"/>
      <c r="H800" s="1490"/>
      <c r="I800" s="1491"/>
      <c r="J800" s="1475" t="s">
        <v>1016</v>
      </c>
      <c r="K800" s="1476"/>
      <c r="L800" s="1476"/>
      <c r="M800" s="1476"/>
      <c r="N800" s="1476"/>
      <c r="O800" s="1476"/>
      <c r="P800" s="1476"/>
      <c r="Q800" s="1476"/>
      <c r="R800" s="1476"/>
      <c r="S800" s="1476"/>
      <c r="T800" s="1476"/>
      <c r="U800" s="1477"/>
      <c r="V800" s="1483"/>
      <c r="W800" s="1484"/>
      <c r="X800" s="1484"/>
      <c r="Y800" s="1484"/>
      <c r="Z800" s="1485"/>
      <c r="AA800" s="1483"/>
      <c r="AB800" s="1484"/>
      <c r="AC800" s="1484"/>
      <c r="AD800" s="1484"/>
      <c r="AE800" s="1485"/>
      <c r="AF800" s="222"/>
      <c r="AG800" s="222"/>
      <c r="AH800" s="222"/>
      <c r="AI800" s="558"/>
      <c r="AJ800" s="557"/>
      <c r="AK800" s="556"/>
      <c r="AL800" s="556"/>
    </row>
    <row r="801" spans="1:68" ht="15" customHeight="1" x14ac:dyDescent="0.2">
      <c r="C801" s="222"/>
      <c r="D801" s="222"/>
      <c r="E801" s="1492"/>
      <c r="F801" s="1493"/>
      <c r="G801" s="1493"/>
      <c r="H801" s="1493"/>
      <c r="I801" s="1494"/>
      <c r="J801" s="1475" t="s">
        <v>1017</v>
      </c>
      <c r="K801" s="1476"/>
      <c r="L801" s="1476"/>
      <c r="M801" s="1476"/>
      <c r="N801" s="1476"/>
      <c r="O801" s="1476"/>
      <c r="P801" s="1476"/>
      <c r="Q801" s="1476"/>
      <c r="R801" s="1476"/>
      <c r="S801" s="1476"/>
      <c r="T801" s="1476"/>
      <c r="U801" s="1477"/>
      <c r="V801" s="1483"/>
      <c r="W801" s="1484"/>
      <c r="X801" s="1484"/>
      <c r="Y801" s="1484"/>
      <c r="Z801" s="1485"/>
      <c r="AA801" s="1483"/>
      <c r="AB801" s="1484"/>
      <c r="AC801" s="1484"/>
      <c r="AD801" s="1484"/>
      <c r="AE801" s="1485"/>
      <c r="AF801" s="222"/>
      <c r="AG801" s="222"/>
      <c r="AH801" s="222"/>
      <c r="AI801" s="558"/>
      <c r="AJ801" s="557"/>
      <c r="AK801" s="556"/>
      <c r="AL801" s="556"/>
    </row>
    <row r="802" spans="1:68" ht="2.25" customHeight="1" x14ac:dyDescent="0.2">
      <c r="C802" s="222"/>
      <c r="D802" s="222"/>
      <c r="E802" s="222"/>
      <c r="F802" s="222"/>
      <c r="G802" s="222"/>
      <c r="H802" s="222"/>
      <c r="I802" s="222"/>
      <c r="J802" s="222"/>
      <c r="K802" s="222"/>
      <c r="L802" s="222"/>
      <c r="M802" s="222"/>
      <c r="N802" s="222"/>
      <c r="O802" s="222"/>
      <c r="P802" s="222"/>
      <c r="Q802" s="222"/>
      <c r="R802" s="222"/>
      <c r="S802" s="222"/>
      <c r="T802" s="222"/>
      <c r="U802" s="222"/>
      <c r="V802" s="222"/>
      <c r="W802" s="222"/>
      <c r="X802" s="222"/>
      <c r="Y802" s="222"/>
      <c r="Z802" s="222"/>
      <c r="AA802" s="222"/>
      <c r="AB802" s="222"/>
      <c r="AC802" s="222"/>
      <c r="AD802" s="222"/>
      <c r="AE802" s="222"/>
      <c r="AF802" s="222"/>
      <c r="AG802" s="222"/>
      <c r="AH802" s="222"/>
      <c r="AI802" s="558"/>
      <c r="AJ802" s="557"/>
      <c r="AK802" s="556"/>
      <c r="AL802" s="556"/>
    </row>
    <row r="803" spans="1:68" ht="21" customHeight="1" x14ac:dyDescent="0.2">
      <c r="C803" s="205" t="s">
        <v>489</v>
      </c>
      <c r="D803" s="70"/>
      <c r="E803" s="70"/>
      <c r="F803" s="70"/>
      <c r="G803" s="70"/>
      <c r="H803" s="70"/>
      <c r="I803" s="70"/>
      <c r="J803" s="70"/>
      <c r="K803" s="70"/>
      <c r="L803" s="70"/>
      <c r="M803" s="70"/>
      <c r="N803" s="70"/>
      <c r="O803" s="70"/>
      <c r="P803" s="70"/>
      <c r="Q803" s="70"/>
      <c r="R803" s="8"/>
      <c r="S803" s="8"/>
      <c r="T803" s="8"/>
      <c r="U803" s="8"/>
      <c r="V803" s="8"/>
      <c r="W803" s="8"/>
      <c r="X803" s="8"/>
      <c r="Y803" s="8"/>
      <c r="Z803" s="8"/>
      <c r="AA803" s="8"/>
      <c r="AB803" s="8"/>
      <c r="AC803" s="8"/>
      <c r="AD803" s="8"/>
      <c r="AE803" s="8"/>
      <c r="AF803" s="8"/>
      <c r="AG803" s="8"/>
      <c r="AH803" s="222"/>
      <c r="AI803" s="558"/>
      <c r="AJ803" s="557"/>
      <c r="AK803" s="556"/>
      <c r="AL803" s="556"/>
    </row>
    <row r="804" spans="1:68" ht="12.75" customHeight="1" x14ac:dyDescent="0.2">
      <c r="C804" s="45" t="s">
        <v>495</v>
      </c>
      <c r="D804" s="44"/>
      <c r="E804" s="45" t="s">
        <v>1018</v>
      </c>
      <c r="F804" s="44"/>
      <c r="G804" s="44"/>
      <c r="H804" s="44"/>
      <c r="I804" s="44"/>
      <c r="J804" s="44"/>
      <c r="K804" s="44"/>
      <c r="L804" s="44"/>
      <c r="M804" s="44"/>
      <c r="N804" s="45"/>
      <c r="O804" s="1776"/>
      <c r="P804" s="1777"/>
      <c r="Q804" s="1778"/>
      <c r="R804" s="45" t="s">
        <v>467</v>
      </c>
      <c r="S804" s="44"/>
      <c r="T804" s="44"/>
      <c r="U804" s="44"/>
      <c r="V804" s="44"/>
      <c r="W804" s="44"/>
      <c r="X804" s="44"/>
      <c r="Y804" s="44"/>
      <c r="Z804" s="44"/>
      <c r="AA804" s="44"/>
      <c r="AB804" s="44"/>
      <c r="AC804" s="44"/>
      <c r="AD804" s="44"/>
      <c r="AE804" s="44"/>
      <c r="AF804" s="44"/>
      <c r="AG804" s="44"/>
      <c r="AH804" s="222"/>
      <c r="AI804" s="558"/>
      <c r="AJ804" s="557"/>
      <c r="AK804" s="556"/>
      <c r="AL804" s="556"/>
    </row>
    <row r="805" spans="1:68" ht="2.25" customHeight="1" x14ac:dyDescent="0.2">
      <c r="AH805" s="75"/>
      <c r="AI805" s="558"/>
      <c r="AJ805" s="557"/>
      <c r="AK805" s="556"/>
      <c r="AL805" s="556"/>
    </row>
    <row r="806" spans="1:68" ht="13.5" customHeight="1" x14ac:dyDescent="0.2">
      <c r="C806" s="45" t="s">
        <v>496</v>
      </c>
      <c r="D806" s="44"/>
      <c r="E806" s="45" t="s">
        <v>1019</v>
      </c>
      <c r="F806" s="44"/>
      <c r="G806" s="44"/>
      <c r="H806" s="44"/>
      <c r="I806" s="44"/>
      <c r="J806" s="44"/>
      <c r="K806" s="44"/>
      <c r="L806" s="44"/>
      <c r="M806" s="44"/>
      <c r="N806" s="44"/>
      <c r="O806" s="1773"/>
      <c r="P806" s="1774"/>
      <c r="Q806" s="1775"/>
      <c r="R806" s="37" t="s">
        <v>466</v>
      </c>
      <c r="S806" s="44"/>
      <c r="T806" s="44"/>
      <c r="U806" s="44"/>
      <c r="V806" s="44"/>
      <c r="W806" s="44"/>
      <c r="X806" s="44"/>
      <c r="Y806" s="44"/>
      <c r="Z806" s="44"/>
      <c r="AA806" s="44"/>
      <c r="AB806" s="44"/>
      <c r="AC806" s="44"/>
      <c r="AD806" s="44"/>
      <c r="AE806" s="44"/>
      <c r="AF806" s="44"/>
      <c r="AG806" s="44"/>
      <c r="AH806" s="222"/>
      <c r="AI806" s="558"/>
      <c r="AJ806" s="557"/>
      <c r="AK806" s="556"/>
      <c r="AL806" s="556"/>
    </row>
    <row r="807" spans="1:68" ht="3" customHeight="1" thickBot="1" x14ac:dyDescent="0.25">
      <c r="AH807" s="75"/>
      <c r="AI807" s="558"/>
      <c r="AJ807" s="557"/>
      <c r="AK807" s="556"/>
      <c r="AL807" s="556"/>
    </row>
    <row r="808" spans="1:68" ht="15" customHeight="1" thickBot="1" x14ac:dyDescent="0.25">
      <c r="C808" s="45" t="s">
        <v>497</v>
      </c>
      <c r="D808" s="44"/>
      <c r="E808" s="45" t="s">
        <v>429</v>
      </c>
      <c r="F808" s="44"/>
      <c r="G808" s="44"/>
      <c r="H808" s="44"/>
      <c r="I808" s="44"/>
      <c r="J808" s="44"/>
      <c r="K808" s="45"/>
      <c r="L808" s="44"/>
      <c r="M808" s="46"/>
      <c r="N808" s="46"/>
      <c r="O808" s="165"/>
      <c r="P808" s="36" t="s">
        <v>430</v>
      </c>
      <c r="Q808" s="44"/>
      <c r="R808" s="44"/>
      <c r="S808" s="44"/>
      <c r="T808" s="44"/>
      <c r="U808" s="44"/>
      <c r="V808" s="165"/>
      <c r="W808" s="36" t="s">
        <v>431</v>
      </c>
      <c r="X808" s="44"/>
      <c r="Y808" s="44"/>
      <c r="Z808" s="44"/>
      <c r="AA808" s="44"/>
      <c r="AB808" s="165"/>
      <c r="AC808" s="36" t="s">
        <v>432</v>
      </c>
      <c r="AD808" s="44"/>
      <c r="AE808" s="44"/>
      <c r="AF808" s="2"/>
      <c r="AG808" s="44"/>
      <c r="AH808" s="222"/>
      <c r="AI808" s="558"/>
      <c r="AJ808" s="557"/>
      <c r="AK808" s="556"/>
      <c r="AL808" s="556"/>
    </row>
    <row r="809" spans="1:68" ht="3" customHeight="1" thickBot="1" x14ac:dyDescent="0.25">
      <c r="AH809" s="75"/>
      <c r="AI809" s="558"/>
      <c r="AJ809" s="557"/>
      <c r="AK809" s="556"/>
      <c r="AL809" s="556"/>
    </row>
    <row r="810" spans="1:68" ht="15" customHeight="1" thickBot="1" x14ac:dyDescent="0.25">
      <c r="C810" s="45" t="s">
        <v>498</v>
      </c>
      <c r="D810" s="44"/>
      <c r="E810" s="45" t="s">
        <v>435</v>
      </c>
      <c r="F810" s="44"/>
      <c r="G810" s="44"/>
      <c r="H810" s="44"/>
      <c r="I810" s="44"/>
      <c r="J810" s="44"/>
      <c r="K810" s="44"/>
      <c r="L810" s="44"/>
      <c r="M810" s="46"/>
      <c r="N810" s="45"/>
      <c r="O810" s="165"/>
      <c r="P810" s="36" t="s">
        <v>433</v>
      </c>
      <c r="Q810" s="44"/>
      <c r="R810" s="44"/>
      <c r="S810" s="44"/>
      <c r="T810" s="44"/>
      <c r="U810" s="44"/>
      <c r="V810" s="165"/>
      <c r="W810" s="36" t="s">
        <v>434</v>
      </c>
      <c r="X810" s="44"/>
      <c r="Y810" s="44"/>
      <c r="Z810" s="44"/>
      <c r="AA810" s="44"/>
      <c r="AB810" s="44"/>
      <c r="AC810" s="2"/>
      <c r="AD810" s="36"/>
      <c r="AE810" s="44"/>
      <c r="AF810" s="44"/>
      <c r="AG810" s="44"/>
      <c r="AH810" s="222"/>
      <c r="AI810" s="558"/>
      <c r="AJ810" s="557"/>
      <c r="AK810" s="556"/>
      <c r="AL810" s="556"/>
    </row>
    <row r="811" spans="1:68" s="8" customFormat="1" ht="3" customHeight="1" x14ac:dyDescent="0.2">
      <c r="A811" s="563"/>
      <c r="B811" s="334"/>
      <c r="C811" s="100"/>
      <c r="D811" s="140"/>
      <c r="E811" s="140"/>
      <c r="F811" s="140"/>
      <c r="G811" s="140"/>
      <c r="H811" s="140"/>
      <c r="I811" s="140"/>
      <c r="J811" s="140"/>
      <c r="K811" s="140"/>
      <c r="L811" s="140"/>
      <c r="M811" s="137"/>
      <c r="N811" s="36"/>
      <c r="O811" s="36"/>
      <c r="P811" s="36"/>
      <c r="Q811" s="140"/>
      <c r="R811" s="140"/>
      <c r="S811" s="140"/>
      <c r="T811" s="140"/>
      <c r="U811" s="140"/>
      <c r="V811" s="36"/>
      <c r="W811" s="36"/>
      <c r="X811" s="140"/>
      <c r="Y811" s="140"/>
      <c r="Z811" s="140"/>
      <c r="AA811" s="140"/>
      <c r="AB811" s="140"/>
      <c r="AC811" s="2"/>
      <c r="AD811" s="36"/>
      <c r="AE811" s="140"/>
      <c r="AF811" s="140"/>
      <c r="AG811" s="140"/>
      <c r="AH811" s="222"/>
      <c r="AI811" s="597"/>
      <c r="AJ811" s="598"/>
      <c r="AK811" s="599"/>
      <c r="AL811" s="599"/>
      <c r="AM811" s="386"/>
      <c r="AN811" s="386"/>
      <c r="AO811" s="386"/>
      <c r="AP811" s="386"/>
      <c r="AQ811" s="386"/>
      <c r="AR811" s="386"/>
      <c r="AS811" s="386"/>
      <c r="AT811" s="386"/>
      <c r="AU811" s="386"/>
      <c r="AV811" s="386"/>
      <c r="AW811" s="386"/>
      <c r="AX811" s="386"/>
      <c r="AY811" s="386"/>
      <c r="AZ811" s="386"/>
      <c r="BA811" s="386"/>
      <c r="BB811" s="386"/>
      <c r="BC811" s="386"/>
      <c r="BD811" s="386"/>
      <c r="BE811" s="386"/>
      <c r="BF811" s="386"/>
      <c r="BG811" s="386"/>
      <c r="BH811" s="386"/>
      <c r="BI811" s="386"/>
      <c r="BJ811" s="386"/>
      <c r="BK811" s="386"/>
      <c r="BL811" s="386"/>
      <c r="BM811" s="386"/>
      <c r="BN811" s="386"/>
      <c r="BO811" s="386"/>
      <c r="BP811" s="386"/>
    </row>
    <row r="812" spans="1:68" ht="15.75" customHeight="1" x14ac:dyDescent="0.2">
      <c r="C812" s="45" t="s">
        <v>499</v>
      </c>
      <c r="E812" s="45" t="s">
        <v>472</v>
      </c>
      <c r="F812" s="44"/>
      <c r="G812" s="44"/>
      <c r="H812" s="44"/>
      <c r="I812" s="44"/>
      <c r="J812" s="44"/>
      <c r="K812" s="44"/>
      <c r="L812" s="44"/>
      <c r="M812" s="44"/>
      <c r="N812" s="44"/>
      <c r="O812" s="44"/>
      <c r="P812" s="44"/>
      <c r="Q812" s="44"/>
      <c r="R812" s="46" t="s">
        <v>471</v>
      </c>
      <c r="S812" s="1779"/>
      <c r="T812" s="1780"/>
      <c r="U812" s="1781"/>
      <c r="V812" s="44"/>
      <c r="W812" s="44"/>
      <c r="X812" s="44"/>
      <c r="Y812" s="44"/>
      <c r="Z812" s="44"/>
      <c r="AA812" s="46" t="s">
        <v>473</v>
      </c>
      <c r="AB812" s="1779"/>
      <c r="AC812" s="1780"/>
      <c r="AD812" s="1781"/>
      <c r="AH812" s="75"/>
      <c r="AI812" s="558"/>
      <c r="AJ812" s="557"/>
      <c r="AK812" s="556"/>
      <c r="AL812" s="556"/>
    </row>
    <row r="813" spans="1:68" ht="3" customHeight="1" x14ac:dyDescent="0.2">
      <c r="I813" s="44"/>
      <c r="J813" s="44"/>
      <c r="K813" s="44"/>
      <c r="L813" s="44"/>
      <c r="M813" s="44"/>
      <c r="N813" s="44"/>
      <c r="O813" s="44"/>
      <c r="P813" s="44"/>
      <c r="Q813" s="44"/>
      <c r="AH813" s="75"/>
      <c r="AI813" s="558"/>
      <c r="AJ813" s="557"/>
      <c r="AK813" s="556"/>
      <c r="AL813" s="556"/>
    </row>
    <row r="814" spans="1:68" ht="15.75" customHeight="1" x14ac:dyDescent="0.2">
      <c r="E814" s="44"/>
      <c r="F814" s="44"/>
      <c r="G814" s="44"/>
      <c r="H814" s="44"/>
      <c r="I814" s="44"/>
      <c r="J814" s="44"/>
      <c r="K814" s="44"/>
      <c r="L814" s="44"/>
      <c r="M814" s="44"/>
      <c r="N814" s="44"/>
      <c r="O814" s="44"/>
      <c r="P814" s="44"/>
      <c r="Q814" s="44"/>
      <c r="R814" s="44"/>
      <c r="S814" s="44"/>
      <c r="T814" s="44"/>
      <c r="U814" s="44"/>
      <c r="V814" s="44"/>
      <c r="W814" s="44"/>
      <c r="X814" s="44"/>
      <c r="Y814" s="44"/>
      <c r="Z814" s="44"/>
      <c r="AA814" s="46" t="s">
        <v>474</v>
      </c>
      <c r="AB814" s="1779"/>
      <c r="AC814" s="1780"/>
      <c r="AD814" s="1781"/>
      <c r="AH814" s="75"/>
      <c r="AI814" s="558"/>
      <c r="AJ814" s="557"/>
      <c r="AK814" s="556"/>
      <c r="AL814" s="556"/>
    </row>
    <row r="815" spans="1:68" ht="3" customHeight="1" x14ac:dyDescent="0.2">
      <c r="AH815" s="222"/>
      <c r="AI815" s="558"/>
      <c r="AJ815" s="557"/>
      <c r="AK815" s="556"/>
      <c r="AL815" s="556"/>
    </row>
    <row r="816" spans="1:68" ht="16.5" customHeight="1" x14ac:dyDescent="0.25">
      <c r="C816" s="894" t="s">
        <v>134</v>
      </c>
      <c r="D816" s="894"/>
      <c r="E816" s="894"/>
      <c r="F816" s="894"/>
      <c r="G816" s="894"/>
      <c r="H816" s="894"/>
      <c r="I816" s="894"/>
      <c r="J816" s="894"/>
      <c r="K816" s="894"/>
      <c r="L816" s="894"/>
      <c r="M816" s="894"/>
      <c r="N816" s="894"/>
      <c r="O816" s="894"/>
      <c r="P816" s="894"/>
      <c r="Q816" s="894"/>
      <c r="R816" s="894"/>
      <c r="S816" s="894"/>
      <c r="T816" s="894"/>
      <c r="U816" s="894"/>
      <c r="V816" s="894"/>
      <c r="W816" s="894"/>
      <c r="X816" s="894"/>
      <c r="Y816" s="894"/>
      <c r="Z816" s="894"/>
      <c r="AA816" s="894"/>
      <c r="AB816" s="894"/>
      <c r="AC816" s="894"/>
      <c r="AD816" s="894"/>
      <c r="AE816" s="894"/>
      <c r="AF816" s="894"/>
      <c r="AG816" s="894"/>
      <c r="AH816" s="253" t="s">
        <v>686</v>
      </c>
      <c r="AI816" s="558"/>
      <c r="AJ816" s="557"/>
      <c r="AK816" s="556"/>
      <c r="AL816" s="556"/>
    </row>
    <row r="817" spans="1:68" ht="42" customHeight="1" x14ac:dyDescent="0.2">
      <c r="C817" s="1478" t="s">
        <v>534</v>
      </c>
      <c r="D817" s="1478"/>
      <c r="E817" s="1478"/>
      <c r="F817" s="1478"/>
      <c r="G817" s="1478"/>
      <c r="H817" s="1478"/>
      <c r="I817" s="1478"/>
      <c r="J817" s="1478"/>
      <c r="K817" s="1478"/>
      <c r="L817" s="1478"/>
      <c r="M817" s="1478"/>
      <c r="N817" s="1478"/>
      <c r="O817" s="1478"/>
      <c r="P817" s="1478"/>
      <c r="Q817" s="1478"/>
      <c r="R817" s="1478"/>
      <c r="S817" s="1478"/>
      <c r="T817" s="1478"/>
      <c r="U817" s="1478"/>
      <c r="V817" s="1478"/>
      <c r="W817" s="1478"/>
      <c r="X817" s="1478"/>
      <c r="Y817" s="1478"/>
      <c r="Z817" s="1478"/>
      <c r="AA817" s="1478"/>
      <c r="AB817" s="1478"/>
      <c r="AC817" s="1478"/>
      <c r="AD817" s="1478"/>
      <c r="AE817" s="1478"/>
      <c r="AF817" s="1478"/>
      <c r="AG817" s="1478"/>
      <c r="AH817" s="222"/>
      <c r="AI817" s="558"/>
      <c r="AJ817" s="557"/>
      <c r="AK817" s="556"/>
      <c r="AL817" s="556"/>
    </row>
    <row r="818" spans="1:68" ht="20.25" customHeight="1" x14ac:dyDescent="0.2">
      <c r="C818" s="1482" t="s">
        <v>348</v>
      </c>
      <c r="D818" s="1482"/>
      <c r="E818" s="1482"/>
      <c r="F818" s="1482"/>
      <c r="G818" s="1482"/>
      <c r="H818" s="1482"/>
      <c r="I818" s="1482"/>
      <c r="J818" s="1482"/>
      <c r="K818" s="1482"/>
      <c r="L818" s="1482"/>
      <c r="M818" s="1482"/>
      <c r="N818" s="1482"/>
      <c r="O818" s="1482"/>
      <c r="P818" s="1482"/>
      <c r="Q818" s="1482"/>
      <c r="R818" s="1482"/>
      <c r="S818" s="1482"/>
      <c r="T818" s="1482"/>
      <c r="U818" s="1482"/>
      <c r="V818" s="1482"/>
      <c r="W818" s="1482"/>
      <c r="X818" s="1482"/>
      <c r="Y818" s="1482"/>
      <c r="Z818" s="1482"/>
      <c r="AA818" s="1482"/>
      <c r="AB818" s="1482"/>
      <c r="AC818" s="1482"/>
      <c r="AD818" s="1482"/>
      <c r="AE818" s="1482"/>
      <c r="AF818" s="1482"/>
      <c r="AG818" s="1482"/>
      <c r="AH818" s="238"/>
      <c r="AI818" s="558"/>
      <c r="AJ818" s="557"/>
      <c r="AK818" s="556"/>
      <c r="AL818" s="556"/>
    </row>
    <row r="819" spans="1:68" ht="12" customHeight="1" x14ac:dyDescent="0.2">
      <c r="D819" s="815" t="s">
        <v>311</v>
      </c>
      <c r="E819" s="815"/>
      <c r="F819" s="815"/>
      <c r="G819" s="815"/>
      <c r="H819" s="815"/>
      <c r="I819" s="815"/>
      <c r="J819" s="815"/>
      <c r="K819" s="815"/>
      <c r="L819" s="815"/>
      <c r="M819" s="815"/>
      <c r="N819" s="815"/>
      <c r="O819" s="815"/>
      <c r="P819" s="815"/>
      <c r="Q819" s="815"/>
      <c r="R819" s="815"/>
      <c r="S819" s="815"/>
      <c r="T819" s="815"/>
      <c r="U819" s="815"/>
      <c r="V819" s="815"/>
      <c r="W819" s="815"/>
      <c r="X819" s="815"/>
      <c r="Y819" s="815"/>
      <c r="Z819" s="815"/>
      <c r="AA819" s="815"/>
      <c r="AB819" s="815"/>
      <c r="AC819" s="815"/>
      <c r="AD819" s="815"/>
      <c r="AE819" s="815"/>
      <c r="AF819" s="815"/>
      <c r="AH819" s="222"/>
      <c r="AI819" s="558"/>
      <c r="AJ819" s="557"/>
      <c r="AK819" s="556"/>
      <c r="AL819" s="556"/>
    </row>
    <row r="820" spans="1:68" ht="18.75" customHeight="1" x14ac:dyDescent="0.2">
      <c r="C820" s="918" t="s">
        <v>308</v>
      </c>
      <c r="D820" s="919"/>
      <c r="E820" s="919"/>
      <c r="F820" s="919"/>
      <c r="G820" s="919"/>
      <c r="H820" s="919"/>
      <c r="I820" s="920"/>
      <c r="J820" s="918" t="s">
        <v>309</v>
      </c>
      <c r="K820" s="919"/>
      <c r="L820" s="919"/>
      <c r="M820" s="919"/>
      <c r="N820" s="919"/>
      <c r="O820" s="919"/>
      <c r="P820" s="919"/>
      <c r="Q820" s="919"/>
      <c r="R820" s="919"/>
      <c r="S820" s="920"/>
      <c r="T820" s="918" t="s">
        <v>310</v>
      </c>
      <c r="U820" s="919"/>
      <c r="V820" s="919"/>
      <c r="W820" s="919"/>
      <c r="X820" s="919"/>
      <c r="Y820" s="919"/>
      <c r="Z820" s="919"/>
      <c r="AA820" s="919"/>
      <c r="AB820" s="920"/>
      <c r="AC820" s="123" t="s">
        <v>761</v>
      </c>
      <c r="AD820" s="123"/>
      <c r="AE820" s="122"/>
      <c r="AF820" s="158"/>
      <c r="AG820" s="29"/>
      <c r="AH820" s="222"/>
      <c r="AI820" s="558"/>
      <c r="AJ820" s="557"/>
      <c r="AK820" s="556"/>
      <c r="AL820" s="556"/>
    </row>
    <row r="821" spans="1:68" ht="17.25" customHeight="1" x14ac:dyDescent="0.2">
      <c r="C821" s="1054"/>
      <c r="D821" s="1055"/>
      <c r="E821" s="1055"/>
      <c r="F821" s="1055"/>
      <c r="G821" s="1055"/>
      <c r="H821" s="1055"/>
      <c r="I821" s="1056"/>
      <c r="J821" s="1054"/>
      <c r="K821" s="1055"/>
      <c r="L821" s="1055"/>
      <c r="M821" s="1055"/>
      <c r="N821" s="1055"/>
      <c r="O821" s="1055"/>
      <c r="P821" s="1055"/>
      <c r="Q821" s="1055"/>
      <c r="R821" s="1055"/>
      <c r="S821" s="1056"/>
      <c r="T821" s="1054"/>
      <c r="U821" s="1055"/>
      <c r="V821" s="1055"/>
      <c r="W821" s="1055"/>
      <c r="X821" s="1055"/>
      <c r="Y821" s="1055"/>
      <c r="Z821" s="1055"/>
      <c r="AA821" s="1055"/>
      <c r="AB821" s="1056"/>
      <c r="AC821" s="123" t="s">
        <v>529</v>
      </c>
      <c r="AD821" s="124"/>
      <c r="AE821" s="123" t="s">
        <v>530</v>
      </c>
      <c r="AF821" s="122"/>
      <c r="AG821" s="29"/>
      <c r="AH821" s="222"/>
      <c r="AI821" s="558"/>
      <c r="AJ821" s="557"/>
      <c r="AK821" s="556"/>
      <c r="AL821" s="556"/>
    </row>
    <row r="822" spans="1:68" ht="21.75" customHeight="1" x14ac:dyDescent="0.2">
      <c r="B822" s="332"/>
      <c r="C822" s="793"/>
      <c r="D822" s="794"/>
      <c r="E822" s="794"/>
      <c r="F822" s="794"/>
      <c r="G822" s="794"/>
      <c r="H822" s="794"/>
      <c r="I822" s="795"/>
      <c r="J822" s="793"/>
      <c r="K822" s="794"/>
      <c r="L822" s="794"/>
      <c r="M822" s="794"/>
      <c r="N822" s="794"/>
      <c r="O822" s="794"/>
      <c r="P822" s="794"/>
      <c r="Q822" s="794"/>
      <c r="R822" s="794"/>
      <c r="S822" s="795"/>
      <c r="T822" s="793"/>
      <c r="U822" s="794"/>
      <c r="V822" s="794"/>
      <c r="W822" s="794"/>
      <c r="X822" s="794"/>
      <c r="Y822" s="794"/>
      <c r="Z822" s="794"/>
      <c r="AA822" s="794"/>
      <c r="AB822" s="795"/>
      <c r="AC822" s="745"/>
      <c r="AD822" s="770"/>
      <c r="AE822" s="745"/>
      <c r="AF822" s="770"/>
      <c r="AH822" s="222"/>
      <c r="AI822" s="558"/>
      <c r="AJ822" s="557">
        <f>IF(COUNTA(C822)&gt;0,1,0)</f>
        <v>0</v>
      </c>
      <c r="AK822" s="556"/>
      <c r="AL822" s="556"/>
    </row>
    <row r="823" spans="1:68" ht="21.75" customHeight="1" x14ac:dyDescent="0.2">
      <c r="B823" s="332"/>
      <c r="C823" s="793"/>
      <c r="D823" s="794"/>
      <c r="E823" s="794"/>
      <c r="F823" s="794"/>
      <c r="G823" s="794"/>
      <c r="H823" s="794"/>
      <c r="I823" s="795"/>
      <c r="J823" s="793"/>
      <c r="K823" s="794"/>
      <c r="L823" s="794"/>
      <c r="M823" s="794"/>
      <c r="N823" s="794"/>
      <c r="O823" s="794"/>
      <c r="P823" s="794"/>
      <c r="Q823" s="794"/>
      <c r="R823" s="794"/>
      <c r="S823" s="795"/>
      <c r="T823" s="793"/>
      <c r="U823" s="794"/>
      <c r="V823" s="794"/>
      <c r="W823" s="794"/>
      <c r="X823" s="794"/>
      <c r="Y823" s="794"/>
      <c r="Z823" s="794"/>
      <c r="AA823" s="794"/>
      <c r="AB823" s="795"/>
      <c r="AC823" s="745"/>
      <c r="AD823" s="770"/>
      <c r="AE823" s="745"/>
      <c r="AF823" s="770"/>
      <c r="AH823" s="222"/>
      <c r="AI823" s="558"/>
      <c r="AJ823" s="557"/>
      <c r="AK823" s="556"/>
      <c r="AL823" s="556"/>
    </row>
    <row r="824" spans="1:68" ht="14.25" customHeight="1" x14ac:dyDescent="0.2">
      <c r="B824" s="332"/>
      <c r="C824" s="793"/>
      <c r="D824" s="794"/>
      <c r="E824" s="794"/>
      <c r="F824" s="794"/>
      <c r="G824" s="794"/>
      <c r="H824" s="794"/>
      <c r="I824" s="795"/>
      <c r="J824" s="793"/>
      <c r="K824" s="794"/>
      <c r="L824" s="794"/>
      <c r="M824" s="794"/>
      <c r="N824" s="794"/>
      <c r="O824" s="794"/>
      <c r="P824" s="794"/>
      <c r="Q824" s="794"/>
      <c r="R824" s="794"/>
      <c r="S824" s="795"/>
      <c r="T824" s="793"/>
      <c r="U824" s="794"/>
      <c r="V824" s="794"/>
      <c r="W824" s="794"/>
      <c r="X824" s="794"/>
      <c r="Y824" s="794"/>
      <c r="Z824" s="794"/>
      <c r="AA824" s="794"/>
      <c r="AB824" s="795"/>
      <c r="AC824" s="745"/>
      <c r="AD824" s="770"/>
      <c r="AE824" s="745"/>
      <c r="AF824" s="770"/>
      <c r="AH824" s="222"/>
      <c r="AI824" s="558"/>
      <c r="AJ824" s="557"/>
      <c r="AK824" s="556"/>
      <c r="AL824" s="556"/>
    </row>
    <row r="825" spans="1:68" ht="14.25" customHeight="1" x14ac:dyDescent="0.2">
      <c r="B825" s="332"/>
      <c r="C825" s="793"/>
      <c r="D825" s="794"/>
      <c r="E825" s="794"/>
      <c r="F825" s="794"/>
      <c r="G825" s="794"/>
      <c r="H825" s="794"/>
      <c r="I825" s="795"/>
      <c r="J825" s="793"/>
      <c r="K825" s="794"/>
      <c r="L825" s="794"/>
      <c r="M825" s="794"/>
      <c r="N825" s="794"/>
      <c r="O825" s="794"/>
      <c r="P825" s="794"/>
      <c r="Q825" s="794"/>
      <c r="R825" s="794"/>
      <c r="S825" s="795"/>
      <c r="T825" s="793"/>
      <c r="U825" s="794"/>
      <c r="V825" s="794"/>
      <c r="W825" s="794"/>
      <c r="X825" s="794"/>
      <c r="Y825" s="794"/>
      <c r="Z825" s="794"/>
      <c r="AA825" s="794"/>
      <c r="AB825" s="795"/>
      <c r="AC825" s="745"/>
      <c r="AD825" s="770"/>
      <c r="AE825" s="745"/>
      <c r="AF825" s="770"/>
      <c r="AH825" s="222"/>
      <c r="AI825" s="558"/>
      <c r="AJ825" s="557"/>
      <c r="AK825" s="556"/>
      <c r="AL825" s="556"/>
    </row>
    <row r="826" spans="1:68" ht="14.25" customHeight="1" x14ac:dyDescent="0.2">
      <c r="B826" s="332"/>
      <c r="C826" s="793"/>
      <c r="D826" s="794"/>
      <c r="E826" s="794"/>
      <c r="F826" s="794"/>
      <c r="G826" s="794"/>
      <c r="H826" s="794"/>
      <c r="I826" s="795"/>
      <c r="J826" s="793"/>
      <c r="K826" s="794"/>
      <c r="L826" s="794"/>
      <c r="M826" s="794"/>
      <c r="N826" s="794"/>
      <c r="O826" s="794"/>
      <c r="P826" s="794"/>
      <c r="Q826" s="794"/>
      <c r="R826" s="794"/>
      <c r="S826" s="795"/>
      <c r="T826" s="793"/>
      <c r="U826" s="794"/>
      <c r="V826" s="794"/>
      <c r="W826" s="794"/>
      <c r="X826" s="794"/>
      <c r="Y826" s="794"/>
      <c r="Z826" s="794"/>
      <c r="AA826" s="794"/>
      <c r="AB826" s="795"/>
      <c r="AC826" s="745"/>
      <c r="AD826" s="770"/>
      <c r="AE826" s="745"/>
      <c r="AF826" s="770"/>
      <c r="AH826" s="222"/>
      <c r="AI826" s="558"/>
      <c r="AJ826" s="557"/>
      <c r="AK826" s="556"/>
      <c r="AL826" s="556"/>
    </row>
    <row r="827" spans="1:68" s="21" customFormat="1" ht="10.5" customHeight="1" x14ac:dyDescent="0.2">
      <c r="A827" s="560"/>
      <c r="B827" s="332"/>
      <c r="AH827" s="458"/>
      <c r="AI827" s="596"/>
      <c r="AJ827" s="594"/>
      <c r="AK827" s="593"/>
      <c r="AL827" s="593"/>
      <c r="AM827" s="384"/>
      <c r="AN827" s="384"/>
      <c r="AO827" s="384"/>
      <c r="AP827" s="384"/>
      <c r="AQ827" s="384"/>
      <c r="AR827" s="384"/>
      <c r="AS827" s="384"/>
      <c r="AT827" s="384"/>
      <c r="AU827" s="384"/>
      <c r="AV827" s="384"/>
      <c r="AW827" s="384"/>
      <c r="AX827" s="384"/>
      <c r="AY827" s="384"/>
      <c r="AZ827" s="384"/>
      <c r="BA827" s="384"/>
      <c r="BB827" s="384"/>
      <c r="BC827" s="384"/>
      <c r="BD827" s="384"/>
      <c r="BE827" s="384"/>
      <c r="BF827" s="384"/>
      <c r="BG827" s="384"/>
      <c r="BH827" s="384"/>
      <c r="BI827" s="384"/>
      <c r="BJ827" s="384"/>
      <c r="BK827" s="384"/>
      <c r="BL827" s="384"/>
      <c r="BM827" s="384"/>
      <c r="BN827" s="384"/>
      <c r="BO827" s="384"/>
      <c r="BP827" s="384"/>
    </row>
    <row r="828" spans="1:68" ht="14.25" customHeight="1" x14ac:dyDescent="0.2">
      <c r="A828" s="564"/>
      <c r="C828" s="1482" t="s">
        <v>337</v>
      </c>
      <c r="D828" s="1482"/>
      <c r="E828" s="1482"/>
      <c r="F828" s="1482"/>
      <c r="G828" s="1482"/>
      <c r="H828" s="1482"/>
      <c r="I828" s="1482"/>
      <c r="J828" s="1482"/>
      <c r="K828" s="1482"/>
      <c r="L828" s="1482"/>
      <c r="M828" s="1482"/>
      <c r="N828" s="1482"/>
      <c r="O828" s="1482"/>
      <c r="P828" s="1482"/>
      <c r="Q828" s="1482"/>
      <c r="R828" s="1482"/>
      <c r="S828" s="1482"/>
      <c r="T828" s="1482"/>
      <c r="U828" s="1482"/>
      <c r="V828" s="1482"/>
      <c r="W828" s="1482"/>
      <c r="X828" s="1482"/>
      <c r="Y828" s="1482"/>
      <c r="Z828" s="1482"/>
      <c r="AA828" s="1482"/>
      <c r="AB828" s="1482"/>
      <c r="AC828" s="1482"/>
      <c r="AD828" s="1482"/>
      <c r="AE828" s="1482"/>
      <c r="AF828" s="1482"/>
      <c r="AG828" s="1482"/>
      <c r="AH828" s="223"/>
      <c r="AI828" s="558"/>
      <c r="AJ828" s="557"/>
      <c r="AK828" s="556"/>
      <c r="AL828" s="556"/>
    </row>
    <row r="829" spans="1:68" ht="27.75" customHeight="1" x14ac:dyDescent="0.2">
      <c r="A829" s="564"/>
      <c r="D829" s="815" t="s">
        <v>307</v>
      </c>
      <c r="E829" s="815"/>
      <c r="F829" s="815"/>
      <c r="G829" s="815"/>
      <c r="H829" s="815"/>
      <c r="I829" s="815"/>
      <c r="J829" s="815"/>
      <c r="K829" s="815"/>
      <c r="L829" s="815"/>
      <c r="M829" s="815"/>
      <c r="N829" s="815"/>
      <c r="O829" s="815"/>
      <c r="P829" s="815"/>
      <c r="Q829" s="815"/>
      <c r="R829" s="815"/>
      <c r="S829" s="815"/>
      <c r="T829" s="815"/>
      <c r="U829" s="815"/>
      <c r="V829" s="815"/>
      <c r="W829" s="815"/>
      <c r="X829" s="815"/>
      <c r="Y829" s="815"/>
      <c r="Z829" s="815"/>
      <c r="AA829" s="815"/>
      <c r="AB829" s="815"/>
      <c r="AC829" s="815"/>
      <c r="AD829" s="815"/>
      <c r="AE829" s="815"/>
      <c r="AF829" s="815"/>
      <c r="AH829" s="255"/>
      <c r="AI829" s="558"/>
      <c r="AJ829" s="557"/>
      <c r="AK829" s="556"/>
      <c r="AL829" s="556"/>
    </row>
    <row r="830" spans="1:68" ht="18.75" customHeight="1" x14ac:dyDescent="0.2">
      <c r="A830" s="564"/>
      <c r="C830" s="918" t="s">
        <v>308</v>
      </c>
      <c r="D830" s="919"/>
      <c r="E830" s="919"/>
      <c r="F830" s="919"/>
      <c r="G830" s="919"/>
      <c r="H830" s="919"/>
      <c r="I830" s="920"/>
      <c r="J830" s="918" t="s">
        <v>309</v>
      </c>
      <c r="K830" s="919"/>
      <c r="L830" s="919"/>
      <c r="M830" s="919"/>
      <c r="N830" s="919"/>
      <c r="O830" s="919"/>
      <c r="P830" s="919"/>
      <c r="Q830" s="919"/>
      <c r="R830" s="919"/>
      <c r="S830" s="920"/>
      <c r="T830" s="918" t="s">
        <v>310</v>
      </c>
      <c r="U830" s="919"/>
      <c r="V830" s="919"/>
      <c r="W830" s="919"/>
      <c r="X830" s="919"/>
      <c r="Y830" s="919"/>
      <c r="Z830" s="919"/>
      <c r="AA830" s="919"/>
      <c r="AB830" s="920"/>
      <c r="AC830" s="123" t="s">
        <v>761</v>
      </c>
      <c r="AD830" s="123"/>
      <c r="AE830" s="122"/>
      <c r="AF830" s="158"/>
      <c r="AG830" s="29"/>
      <c r="AH830" s="255"/>
      <c r="AI830" s="558"/>
      <c r="AJ830" s="557"/>
      <c r="AK830" s="556"/>
      <c r="AL830" s="556"/>
    </row>
    <row r="831" spans="1:68" ht="17.25" customHeight="1" x14ac:dyDescent="0.2">
      <c r="A831" s="564"/>
      <c r="C831" s="1054"/>
      <c r="D831" s="1055"/>
      <c r="E831" s="1055"/>
      <c r="F831" s="1055"/>
      <c r="G831" s="1055"/>
      <c r="H831" s="1055"/>
      <c r="I831" s="1056"/>
      <c r="J831" s="1054"/>
      <c r="K831" s="1055"/>
      <c r="L831" s="1055"/>
      <c r="M831" s="1055"/>
      <c r="N831" s="1055"/>
      <c r="O831" s="1055"/>
      <c r="P831" s="1055"/>
      <c r="Q831" s="1055"/>
      <c r="R831" s="1055"/>
      <c r="S831" s="1056"/>
      <c r="T831" s="1054"/>
      <c r="U831" s="1055"/>
      <c r="V831" s="1055"/>
      <c r="W831" s="1055"/>
      <c r="X831" s="1055"/>
      <c r="Y831" s="1055"/>
      <c r="Z831" s="1055"/>
      <c r="AA831" s="1055"/>
      <c r="AB831" s="1056"/>
      <c r="AC831" s="123" t="s">
        <v>529</v>
      </c>
      <c r="AD831" s="124"/>
      <c r="AE831" s="123" t="s">
        <v>530</v>
      </c>
      <c r="AF831" s="122"/>
      <c r="AG831" s="29"/>
      <c r="AH831" s="255"/>
      <c r="AI831" s="558"/>
      <c r="AJ831" s="557"/>
      <c r="AK831" s="556"/>
      <c r="AL831" s="556"/>
    </row>
    <row r="832" spans="1:68" ht="21.75" customHeight="1" x14ac:dyDescent="0.2">
      <c r="A832" s="564"/>
      <c r="B832" s="332"/>
      <c r="C832" s="835"/>
      <c r="D832" s="836"/>
      <c r="E832" s="836"/>
      <c r="F832" s="836"/>
      <c r="G832" s="836"/>
      <c r="H832" s="836"/>
      <c r="I832" s="837"/>
      <c r="J832" s="835"/>
      <c r="K832" s="836"/>
      <c r="L832" s="836"/>
      <c r="M832" s="836"/>
      <c r="N832" s="836"/>
      <c r="O832" s="836"/>
      <c r="P832" s="836"/>
      <c r="Q832" s="836"/>
      <c r="R832" s="836"/>
      <c r="S832" s="837"/>
      <c r="T832" s="835"/>
      <c r="U832" s="836"/>
      <c r="V832" s="836"/>
      <c r="W832" s="836"/>
      <c r="X832" s="836"/>
      <c r="Y832" s="836"/>
      <c r="Z832" s="836"/>
      <c r="AA832" s="836"/>
      <c r="AB832" s="837"/>
      <c r="AC832" s="745"/>
      <c r="AD832" s="770"/>
      <c r="AE832" s="745"/>
      <c r="AF832" s="770"/>
      <c r="AH832" s="255"/>
      <c r="AI832" s="558"/>
      <c r="AJ832" s="557">
        <f>IF(COUNTA(C832)&gt;0,1,0)</f>
        <v>0</v>
      </c>
      <c r="AK832" s="556">
        <f>IF(AF125="X", IF(AJ832=0,1,2),0)</f>
        <v>0</v>
      </c>
      <c r="AL832" s="556"/>
    </row>
    <row r="833" spans="1:38" ht="21.75" customHeight="1" x14ac:dyDescent="0.2">
      <c r="A833" s="564"/>
      <c r="B833" s="332"/>
      <c r="C833" s="835"/>
      <c r="D833" s="836"/>
      <c r="E833" s="836"/>
      <c r="F833" s="836"/>
      <c r="G833" s="836"/>
      <c r="H833" s="836"/>
      <c r="I833" s="837"/>
      <c r="J833" s="835"/>
      <c r="K833" s="836"/>
      <c r="L833" s="836"/>
      <c r="M833" s="836"/>
      <c r="N833" s="836"/>
      <c r="O833" s="836"/>
      <c r="P833" s="836"/>
      <c r="Q833" s="836"/>
      <c r="R833" s="836"/>
      <c r="S833" s="837"/>
      <c r="T833" s="835"/>
      <c r="U833" s="836"/>
      <c r="V833" s="836"/>
      <c r="W833" s="836"/>
      <c r="X833" s="836"/>
      <c r="Y833" s="836"/>
      <c r="Z833" s="836"/>
      <c r="AA833" s="836"/>
      <c r="AB833" s="837"/>
      <c r="AC833" s="745"/>
      <c r="AD833" s="770"/>
      <c r="AE833" s="745"/>
      <c r="AF833" s="770"/>
      <c r="AH833" s="255"/>
      <c r="AI833" s="558"/>
      <c r="AJ833" s="557"/>
      <c r="AK833" s="556"/>
      <c r="AL833" s="556"/>
    </row>
    <row r="834" spans="1:38" ht="15" customHeight="1" x14ac:dyDescent="0.2">
      <c r="A834" s="564"/>
      <c r="B834" s="332"/>
      <c r="C834" s="835"/>
      <c r="D834" s="836"/>
      <c r="E834" s="836"/>
      <c r="F834" s="836"/>
      <c r="G834" s="836"/>
      <c r="H834" s="836"/>
      <c r="I834" s="837"/>
      <c r="J834" s="835"/>
      <c r="K834" s="836"/>
      <c r="L834" s="836"/>
      <c r="M834" s="836"/>
      <c r="N834" s="836"/>
      <c r="O834" s="836"/>
      <c r="P834" s="836"/>
      <c r="Q834" s="836"/>
      <c r="R834" s="836"/>
      <c r="S834" s="837"/>
      <c r="T834" s="835"/>
      <c r="U834" s="836"/>
      <c r="V834" s="836"/>
      <c r="W834" s="836"/>
      <c r="X834" s="836"/>
      <c r="Y834" s="836"/>
      <c r="Z834" s="836"/>
      <c r="AA834" s="836"/>
      <c r="AB834" s="837"/>
      <c r="AC834" s="745"/>
      <c r="AD834" s="770"/>
      <c r="AE834" s="745"/>
      <c r="AF834" s="770"/>
      <c r="AH834" s="255"/>
      <c r="AI834" s="558"/>
      <c r="AJ834" s="557"/>
      <c r="AK834" s="556"/>
      <c r="AL834" s="556"/>
    </row>
    <row r="835" spans="1:38" ht="15" customHeight="1" x14ac:dyDescent="0.2">
      <c r="A835" s="564"/>
      <c r="B835" s="332"/>
      <c r="C835" s="835"/>
      <c r="D835" s="836"/>
      <c r="E835" s="836"/>
      <c r="F835" s="836"/>
      <c r="G835" s="836"/>
      <c r="H835" s="836"/>
      <c r="I835" s="837"/>
      <c r="J835" s="835"/>
      <c r="K835" s="836"/>
      <c r="L835" s="836"/>
      <c r="M835" s="836"/>
      <c r="N835" s="836"/>
      <c r="O835" s="836"/>
      <c r="P835" s="836"/>
      <c r="Q835" s="836"/>
      <c r="R835" s="836"/>
      <c r="S835" s="837"/>
      <c r="T835" s="835"/>
      <c r="U835" s="836"/>
      <c r="V835" s="836"/>
      <c r="W835" s="836"/>
      <c r="X835" s="836"/>
      <c r="Y835" s="836"/>
      <c r="Z835" s="836"/>
      <c r="AA835" s="836"/>
      <c r="AB835" s="837"/>
      <c r="AC835" s="745"/>
      <c r="AD835" s="770"/>
      <c r="AE835" s="745"/>
      <c r="AF835" s="770"/>
      <c r="AH835" s="222"/>
      <c r="AI835" s="558"/>
      <c r="AJ835" s="557"/>
      <c r="AK835" s="556"/>
      <c r="AL835" s="556"/>
    </row>
    <row r="836" spans="1:38" ht="15" customHeight="1" x14ac:dyDescent="0.2">
      <c r="A836" s="564"/>
      <c r="B836" s="332"/>
      <c r="C836" s="835"/>
      <c r="D836" s="836"/>
      <c r="E836" s="836"/>
      <c r="F836" s="836"/>
      <c r="G836" s="836"/>
      <c r="H836" s="836"/>
      <c r="I836" s="837"/>
      <c r="J836" s="835"/>
      <c r="K836" s="836"/>
      <c r="L836" s="836"/>
      <c r="M836" s="836"/>
      <c r="N836" s="836"/>
      <c r="O836" s="836"/>
      <c r="P836" s="836"/>
      <c r="Q836" s="836"/>
      <c r="R836" s="836"/>
      <c r="S836" s="837"/>
      <c r="T836" s="835"/>
      <c r="U836" s="836"/>
      <c r="V836" s="836"/>
      <c r="W836" s="836"/>
      <c r="X836" s="836"/>
      <c r="Y836" s="836"/>
      <c r="Z836" s="836"/>
      <c r="AA836" s="836"/>
      <c r="AB836" s="837"/>
      <c r="AC836" s="745"/>
      <c r="AD836" s="770"/>
      <c r="AE836" s="745"/>
      <c r="AF836" s="770"/>
      <c r="AH836" s="222"/>
      <c r="AI836" s="558"/>
      <c r="AJ836" s="557"/>
      <c r="AK836" s="556"/>
      <c r="AL836" s="556"/>
    </row>
    <row r="837" spans="1:38" ht="15" customHeight="1" x14ac:dyDescent="0.2">
      <c r="A837" s="564"/>
      <c r="B837" s="332"/>
      <c r="C837" s="835"/>
      <c r="D837" s="836"/>
      <c r="E837" s="836"/>
      <c r="F837" s="836"/>
      <c r="G837" s="836"/>
      <c r="H837" s="836"/>
      <c r="I837" s="837"/>
      <c r="J837" s="835"/>
      <c r="K837" s="836"/>
      <c r="L837" s="836"/>
      <c r="M837" s="836"/>
      <c r="N837" s="836"/>
      <c r="O837" s="836"/>
      <c r="P837" s="836"/>
      <c r="Q837" s="836"/>
      <c r="R837" s="836"/>
      <c r="S837" s="837"/>
      <c r="T837" s="835"/>
      <c r="U837" s="836"/>
      <c r="V837" s="836"/>
      <c r="W837" s="836"/>
      <c r="X837" s="836"/>
      <c r="Y837" s="836"/>
      <c r="Z837" s="836"/>
      <c r="AA837" s="836"/>
      <c r="AB837" s="837"/>
      <c r="AC837" s="745"/>
      <c r="AD837" s="770"/>
      <c r="AE837" s="745"/>
      <c r="AF837" s="770"/>
      <c r="AH837" s="222"/>
      <c r="AI837" s="558"/>
      <c r="AJ837" s="557"/>
      <c r="AK837" s="556"/>
      <c r="AL837" s="556"/>
    </row>
    <row r="838" spans="1:38" ht="15" customHeight="1" x14ac:dyDescent="0.2">
      <c r="A838" s="564"/>
      <c r="B838" s="332"/>
      <c r="C838" s="835"/>
      <c r="D838" s="836"/>
      <c r="E838" s="836"/>
      <c r="F838" s="836"/>
      <c r="G838" s="836"/>
      <c r="H838" s="836"/>
      <c r="I838" s="837"/>
      <c r="J838" s="835"/>
      <c r="K838" s="836"/>
      <c r="L838" s="836"/>
      <c r="M838" s="836"/>
      <c r="N838" s="836"/>
      <c r="O838" s="836"/>
      <c r="P838" s="836"/>
      <c r="Q838" s="836"/>
      <c r="R838" s="836"/>
      <c r="S838" s="837"/>
      <c r="T838" s="835"/>
      <c r="U838" s="836"/>
      <c r="V838" s="836"/>
      <c r="W838" s="836"/>
      <c r="X838" s="836"/>
      <c r="Y838" s="836"/>
      <c r="Z838" s="836"/>
      <c r="AA838" s="836"/>
      <c r="AB838" s="837"/>
      <c r="AC838" s="745"/>
      <c r="AD838" s="770"/>
      <c r="AE838" s="745"/>
      <c r="AF838" s="770"/>
      <c r="AH838" s="222"/>
      <c r="AI838" s="558"/>
      <c r="AJ838" s="557"/>
      <c r="AK838" s="556"/>
      <c r="AL838" s="556"/>
    </row>
    <row r="839" spans="1:38" ht="15" customHeight="1" x14ac:dyDescent="0.2">
      <c r="A839" s="564"/>
      <c r="B839" s="332"/>
      <c r="C839" s="835"/>
      <c r="D839" s="836"/>
      <c r="E839" s="836"/>
      <c r="F839" s="836"/>
      <c r="G839" s="836"/>
      <c r="H839" s="836"/>
      <c r="I839" s="837"/>
      <c r="J839" s="835"/>
      <c r="K839" s="836"/>
      <c r="L839" s="836"/>
      <c r="M839" s="836"/>
      <c r="N839" s="836"/>
      <c r="O839" s="836"/>
      <c r="P839" s="836"/>
      <c r="Q839" s="836"/>
      <c r="R839" s="836"/>
      <c r="S839" s="837"/>
      <c r="T839" s="835"/>
      <c r="U839" s="836"/>
      <c r="V839" s="836"/>
      <c r="W839" s="836"/>
      <c r="X839" s="836"/>
      <c r="Y839" s="836"/>
      <c r="Z839" s="836"/>
      <c r="AA839" s="836"/>
      <c r="AB839" s="837"/>
      <c r="AC839" s="745"/>
      <c r="AD839" s="770"/>
      <c r="AE839" s="745"/>
      <c r="AF839" s="770"/>
      <c r="AH839" s="222"/>
      <c r="AI839" s="558"/>
      <c r="AJ839" s="557"/>
      <c r="AK839" s="556"/>
      <c r="AL839" s="556"/>
    </row>
    <row r="840" spans="1:38" ht="15" customHeight="1" x14ac:dyDescent="0.2">
      <c r="A840" s="564"/>
      <c r="B840" s="332"/>
      <c r="C840" s="835"/>
      <c r="D840" s="836"/>
      <c r="E840" s="836"/>
      <c r="F840" s="836"/>
      <c r="G840" s="836"/>
      <c r="H840" s="836"/>
      <c r="I840" s="837"/>
      <c r="J840" s="835"/>
      <c r="K840" s="836"/>
      <c r="L840" s="836"/>
      <c r="M840" s="836"/>
      <c r="N840" s="836"/>
      <c r="O840" s="836"/>
      <c r="P840" s="836"/>
      <c r="Q840" s="836"/>
      <c r="R840" s="836"/>
      <c r="S840" s="837"/>
      <c r="T840" s="835"/>
      <c r="U840" s="836"/>
      <c r="V840" s="836"/>
      <c r="W840" s="836"/>
      <c r="X840" s="836"/>
      <c r="Y840" s="836"/>
      <c r="Z840" s="836"/>
      <c r="AA840" s="836"/>
      <c r="AB840" s="837"/>
      <c r="AC840" s="745"/>
      <c r="AD840" s="770"/>
      <c r="AE840" s="745"/>
      <c r="AF840" s="770"/>
      <c r="AH840" s="222"/>
      <c r="AI840" s="558"/>
      <c r="AJ840" s="557"/>
      <c r="AK840" s="556"/>
      <c r="AL840" s="556"/>
    </row>
    <row r="841" spans="1:38" ht="15" customHeight="1" x14ac:dyDescent="0.2">
      <c r="A841" s="564"/>
      <c r="B841" s="332"/>
      <c r="C841" s="835"/>
      <c r="D841" s="836"/>
      <c r="E841" s="836"/>
      <c r="F841" s="836"/>
      <c r="G841" s="836"/>
      <c r="H841" s="836"/>
      <c r="I841" s="837"/>
      <c r="J841" s="835"/>
      <c r="K841" s="836"/>
      <c r="L841" s="836"/>
      <c r="M841" s="836"/>
      <c r="N841" s="836"/>
      <c r="O841" s="836"/>
      <c r="P841" s="836"/>
      <c r="Q841" s="836"/>
      <c r="R841" s="836"/>
      <c r="S841" s="837"/>
      <c r="T841" s="835"/>
      <c r="U841" s="836"/>
      <c r="V841" s="836"/>
      <c r="W841" s="836"/>
      <c r="X841" s="836"/>
      <c r="Y841" s="836"/>
      <c r="Z841" s="836"/>
      <c r="AA841" s="836"/>
      <c r="AB841" s="837"/>
      <c r="AC841" s="745"/>
      <c r="AD841" s="770"/>
      <c r="AE841" s="745"/>
      <c r="AF841" s="770"/>
      <c r="AH841" s="222"/>
      <c r="AI841" s="558"/>
      <c r="AJ841" s="557"/>
      <c r="AK841" s="556"/>
      <c r="AL841" s="556"/>
    </row>
    <row r="842" spans="1:38" ht="18.75" customHeight="1" x14ac:dyDescent="0.2">
      <c r="A842" s="564"/>
      <c r="C842" s="59" t="s">
        <v>349</v>
      </c>
      <c r="D842" s="57"/>
      <c r="E842" s="57"/>
      <c r="F842" s="57"/>
      <c r="G842" s="57"/>
      <c r="H842" s="57"/>
      <c r="I842" s="57"/>
      <c r="J842" s="57"/>
      <c r="K842" s="57"/>
      <c r="L842" s="57"/>
      <c r="M842" s="57"/>
      <c r="N842" s="57"/>
      <c r="O842" s="57"/>
      <c r="P842" s="57"/>
      <c r="Q842" s="57"/>
      <c r="R842" s="57"/>
      <c r="S842" s="57"/>
      <c r="T842" s="57"/>
      <c r="U842" s="57"/>
      <c r="V842" s="57"/>
      <c r="W842" s="57"/>
      <c r="X842" s="57"/>
      <c r="Y842" s="77"/>
      <c r="Z842" s="77"/>
      <c r="AA842" s="77"/>
      <c r="AB842" s="77"/>
      <c r="AC842" s="77"/>
      <c r="AD842" s="77"/>
      <c r="AE842" s="77"/>
      <c r="AF842" s="77"/>
      <c r="AG842" s="77"/>
      <c r="AH842" s="223"/>
      <c r="AI842" s="556"/>
      <c r="AK842" s="556"/>
      <c r="AL842" s="556"/>
    </row>
    <row r="843" spans="1:38" ht="12" customHeight="1" x14ac:dyDescent="0.2">
      <c r="A843" s="564"/>
      <c r="D843" s="815" t="s">
        <v>312</v>
      </c>
      <c r="E843" s="815"/>
      <c r="F843" s="815"/>
      <c r="G843" s="815"/>
      <c r="H843" s="815"/>
      <c r="I843" s="815"/>
      <c r="J843" s="815"/>
      <c r="K843" s="815"/>
      <c r="L843" s="815"/>
      <c r="M843" s="815"/>
      <c r="N843" s="815"/>
      <c r="O843" s="815"/>
      <c r="P843" s="815"/>
      <c r="Q843" s="815"/>
      <c r="R843" s="815"/>
      <c r="S843" s="815"/>
      <c r="T843" s="815"/>
      <c r="U843" s="815"/>
      <c r="V843" s="815"/>
      <c r="W843" s="815"/>
      <c r="X843" s="815"/>
      <c r="Y843" s="815"/>
      <c r="Z843" s="815"/>
      <c r="AA843" s="815"/>
      <c r="AB843" s="815"/>
      <c r="AC843" s="815"/>
      <c r="AD843" s="815"/>
      <c r="AE843" s="815"/>
      <c r="AF843" s="815"/>
      <c r="AH843" s="222"/>
      <c r="AI843" s="558"/>
      <c r="AJ843" s="557"/>
      <c r="AK843" s="556"/>
      <c r="AL843" s="556"/>
    </row>
    <row r="844" spans="1:38" ht="15.75" customHeight="1" x14ac:dyDescent="0.2">
      <c r="A844" s="564"/>
      <c r="C844" s="918" t="s">
        <v>308</v>
      </c>
      <c r="D844" s="919"/>
      <c r="E844" s="919"/>
      <c r="F844" s="919"/>
      <c r="G844" s="919"/>
      <c r="H844" s="919"/>
      <c r="I844" s="920"/>
      <c r="J844" s="918" t="s">
        <v>309</v>
      </c>
      <c r="K844" s="919"/>
      <c r="L844" s="919"/>
      <c r="M844" s="919"/>
      <c r="N844" s="919"/>
      <c r="O844" s="919"/>
      <c r="P844" s="919"/>
      <c r="Q844" s="919"/>
      <c r="R844" s="919"/>
      <c r="S844" s="920"/>
      <c r="T844" s="918" t="s">
        <v>310</v>
      </c>
      <c r="U844" s="919"/>
      <c r="V844" s="919"/>
      <c r="W844" s="919"/>
      <c r="X844" s="919"/>
      <c r="Y844" s="919"/>
      <c r="Z844" s="919"/>
      <c r="AA844" s="919"/>
      <c r="AB844" s="920"/>
      <c r="AC844" s="123" t="s">
        <v>761</v>
      </c>
      <c r="AD844" s="123"/>
      <c r="AE844" s="122"/>
      <c r="AF844" s="158"/>
      <c r="AG844" s="29"/>
      <c r="AH844" s="222"/>
      <c r="AI844" s="558"/>
      <c r="AJ844" s="557"/>
      <c r="AK844" s="556"/>
      <c r="AL844" s="556"/>
    </row>
    <row r="845" spans="1:38" ht="15.75" customHeight="1" x14ac:dyDescent="0.2">
      <c r="A845" s="564"/>
      <c r="C845" s="1054"/>
      <c r="D845" s="1055"/>
      <c r="E845" s="1055"/>
      <c r="F845" s="1055"/>
      <c r="G845" s="1055"/>
      <c r="H845" s="1055"/>
      <c r="I845" s="1056"/>
      <c r="J845" s="1054"/>
      <c r="K845" s="1055"/>
      <c r="L845" s="1055"/>
      <c r="M845" s="1055"/>
      <c r="N845" s="1055"/>
      <c r="O845" s="1055"/>
      <c r="P845" s="1055"/>
      <c r="Q845" s="1055"/>
      <c r="R845" s="1055"/>
      <c r="S845" s="1056"/>
      <c r="T845" s="1054"/>
      <c r="U845" s="1055"/>
      <c r="V845" s="1055"/>
      <c r="W845" s="1055"/>
      <c r="X845" s="1055"/>
      <c r="Y845" s="1055"/>
      <c r="Z845" s="1055"/>
      <c r="AA845" s="1055"/>
      <c r="AB845" s="1056"/>
      <c r="AC845" s="123" t="s">
        <v>529</v>
      </c>
      <c r="AD845" s="124"/>
      <c r="AE845" s="123" t="s">
        <v>530</v>
      </c>
      <c r="AF845" s="122"/>
      <c r="AG845" s="29"/>
      <c r="AH845" s="222"/>
      <c r="AI845" s="558"/>
      <c r="AJ845" s="557"/>
      <c r="AK845" s="556"/>
      <c r="AL845" s="556"/>
    </row>
    <row r="846" spans="1:38" ht="21" customHeight="1" x14ac:dyDescent="0.2">
      <c r="A846" s="564"/>
      <c r="B846" s="332"/>
      <c r="C846" s="835"/>
      <c r="D846" s="836"/>
      <c r="E846" s="836"/>
      <c r="F846" s="836"/>
      <c r="G846" s="836"/>
      <c r="H846" s="836"/>
      <c r="I846" s="837"/>
      <c r="J846" s="835"/>
      <c r="K846" s="836"/>
      <c r="L846" s="836"/>
      <c r="M846" s="836"/>
      <c r="N846" s="836"/>
      <c r="O846" s="836"/>
      <c r="P846" s="836"/>
      <c r="Q846" s="836"/>
      <c r="R846" s="836"/>
      <c r="S846" s="837"/>
      <c r="T846" s="835"/>
      <c r="U846" s="836"/>
      <c r="V846" s="836"/>
      <c r="W846" s="836"/>
      <c r="X846" s="836"/>
      <c r="Y846" s="836"/>
      <c r="Z846" s="836"/>
      <c r="AA846" s="836"/>
      <c r="AB846" s="837"/>
      <c r="AC846" s="745"/>
      <c r="AD846" s="770"/>
      <c r="AE846" s="745"/>
      <c r="AF846" s="770"/>
      <c r="AH846" s="222"/>
      <c r="AI846" s="558"/>
      <c r="AJ846" s="557">
        <f>IF(COUNTBLANK(C846:C860)&lt;15,1,0)</f>
        <v>0</v>
      </c>
      <c r="AK846" s="556"/>
      <c r="AL846" s="556"/>
    </row>
    <row r="847" spans="1:38" ht="21" customHeight="1" x14ac:dyDescent="0.2">
      <c r="A847" s="564"/>
      <c r="B847" s="332"/>
      <c r="C847" s="835"/>
      <c r="D847" s="836"/>
      <c r="E847" s="836"/>
      <c r="F847" s="836"/>
      <c r="G847" s="836"/>
      <c r="H847" s="836"/>
      <c r="I847" s="837"/>
      <c r="J847" s="835"/>
      <c r="K847" s="836"/>
      <c r="L847" s="836"/>
      <c r="M847" s="836"/>
      <c r="N847" s="836"/>
      <c r="O847" s="836"/>
      <c r="P847" s="836"/>
      <c r="Q847" s="836"/>
      <c r="R847" s="836"/>
      <c r="S847" s="837"/>
      <c r="T847" s="835"/>
      <c r="U847" s="836"/>
      <c r="V847" s="836"/>
      <c r="W847" s="836"/>
      <c r="X847" s="836"/>
      <c r="Y847" s="836"/>
      <c r="Z847" s="836"/>
      <c r="AA847" s="836"/>
      <c r="AB847" s="837"/>
      <c r="AC847" s="745"/>
      <c r="AD847" s="770"/>
      <c r="AE847" s="745"/>
      <c r="AF847" s="770"/>
      <c r="AH847" s="222"/>
      <c r="AI847" s="558"/>
      <c r="AJ847" s="557"/>
      <c r="AK847" s="556"/>
      <c r="AL847" s="556"/>
    </row>
    <row r="848" spans="1:38" ht="14.25" customHeight="1" x14ac:dyDescent="0.2">
      <c r="A848" s="564"/>
      <c r="B848" s="332"/>
      <c r="C848" s="835"/>
      <c r="D848" s="836"/>
      <c r="E848" s="836"/>
      <c r="F848" s="836"/>
      <c r="G848" s="836"/>
      <c r="H848" s="836"/>
      <c r="I848" s="837"/>
      <c r="J848" s="835"/>
      <c r="K848" s="836"/>
      <c r="L848" s="836"/>
      <c r="M848" s="836"/>
      <c r="N848" s="836"/>
      <c r="O848" s="836"/>
      <c r="P848" s="836"/>
      <c r="Q848" s="836"/>
      <c r="R848" s="836"/>
      <c r="S848" s="837"/>
      <c r="T848" s="835"/>
      <c r="U848" s="836"/>
      <c r="V848" s="836"/>
      <c r="W848" s="836"/>
      <c r="X848" s="836"/>
      <c r="Y848" s="836"/>
      <c r="Z848" s="836"/>
      <c r="AA848" s="836"/>
      <c r="AB848" s="837"/>
      <c r="AC848" s="745"/>
      <c r="AD848" s="770"/>
      <c r="AE848" s="745"/>
      <c r="AF848" s="770"/>
      <c r="AH848" s="222"/>
      <c r="AI848" s="558"/>
      <c r="AJ848" s="557"/>
      <c r="AK848" s="556"/>
      <c r="AL848" s="556"/>
    </row>
    <row r="849" spans="1:38" ht="14.25" customHeight="1" x14ac:dyDescent="0.2">
      <c r="A849" s="564"/>
      <c r="B849" s="332"/>
      <c r="C849" s="835"/>
      <c r="D849" s="836"/>
      <c r="E849" s="836"/>
      <c r="F849" s="836"/>
      <c r="G849" s="836"/>
      <c r="H849" s="836"/>
      <c r="I849" s="837"/>
      <c r="J849" s="835"/>
      <c r="K849" s="836"/>
      <c r="L849" s="836"/>
      <c r="M849" s="836"/>
      <c r="N849" s="836"/>
      <c r="O849" s="836"/>
      <c r="P849" s="836"/>
      <c r="Q849" s="836"/>
      <c r="R849" s="836"/>
      <c r="S849" s="837"/>
      <c r="T849" s="835"/>
      <c r="U849" s="836"/>
      <c r="V849" s="836"/>
      <c r="W849" s="836"/>
      <c r="X849" s="836"/>
      <c r="Y849" s="836"/>
      <c r="Z849" s="836"/>
      <c r="AA849" s="836"/>
      <c r="AB849" s="837"/>
      <c r="AC849" s="745"/>
      <c r="AD849" s="770"/>
      <c r="AE849" s="745"/>
      <c r="AF849" s="770"/>
      <c r="AH849" s="222"/>
      <c r="AI849" s="558"/>
      <c r="AJ849" s="557"/>
      <c r="AK849" s="556"/>
      <c r="AL849" s="556"/>
    </row>
    <row r="850" spans="1:38" ht="14.25" customHeight="1" x14ac:dyDescent="0.2">
      <c r="A850" s="564"/>
      <c r="B850" s="332"/>
      <c r="C850" s="835"/>
      <c r="D850" s="836"/>
      <c r="E850" s="836"/>
      <c r="F850" s="836"/>
      <c r="G850" s="836"/>
      <c r="H850" s="836"/>
      <c r="I850" s="837"/>
      <c r="J850" s="835"/>
      <c r="K850" s="836"/>
      <c r="L850" s="836"/>
      <c r="M850" s="836"/>
      <c r="N850" s="836"/>
      <c r="O850" s="836"/>
      <c r="P850" s="836"/>
      <c r="Q850" s="836"/>
      <c r="R850" s="836"/>
      <c r="S850" s="837"/>
      <c r="T850" s="835"/>
      <c r="U850" s="836"/>
      <c r="V850" s="836"/>
      <c r="W850" s="836"/>
      <c r="X850" s="836"/>
      <c r="Y850" s="836"/>
      <c r="Z850" s="836"/>
      <c r="AA850" s="836"/>
      <c r="AB850" s="837"/>
      <c r="AC850" s="745"/>
      <c r="AD850" s="770"/>
      <c r="AE850" s="745"/>
      <c r="AF850" s="770"/>
      <c r="AH850" s="222"/>
      <c r="AI850" s="558"/>
      <c r="AJ850" s="557"/>
      <c r="AK850" s="556"/>
      <c r="AL850" s="556"/>
    </row>
    <row r="851" spans="1:38" ht="14.25" customHeight="1" x14ac:dyDescent="0.2">
      <c r="A851" s="564"/>
      <c r="B851" s="332"/>
      <c r="C851" s="835"/>
      <c r="D851" s="836"/>
      <c r="E851" s="836"/>
      <c r="F851" s="836"/>
      <c r="G851" s="836"/>
      <c r="H851" s="836"/>
      <c r="I851" s="837"/>
      <c r="J851" s="835"/>
      <c r="K851" s="836"/>
      <c r="L851" s="836"/>
      <c r="M851" s="836"/>
      <c r="N851" s="836"/>
      <c r="O851" s="836"/>
      <c r="P851" s="836"/>
      <c r="Q851" s="836"/>
      <c r="R851" s="836"/>
      <c r="S851" s="837"/>
      <c r="T851" s="835"/>
      <c r="U851" s="836"/>
      <c r="V851" s="836"/>
      <c r="W851" s="836"/>
      <c r="X851" s="836"/>
      <c r="Y851" s="836"/>
      <c r="Z851" s="836"/>
      <c r="AA851" s="836"/>
      <c r="AB851" s="837"/>
      <c r="AC851" s="745"/>
      <c r="AD851" s="770"/>
      <c r="AE851" s="745"/>
      <c r="AF851" s="770"/>
      <c r="AH851" s="222"/>
      <c r="AI851" s="558"/>
      <c r="AJ851" s="557"/>
      <c r="AK851" s="556"/>
      <c r="AL851" s="556"/>
    </row>
    <row r="852" spans="1:38" ht="14.25" customHeight="1" x14ac:dyDescent="0.2">
      <c r="A852" s="564"/>
      <c r="B852" s="332"/>
      <c r="C852" s="835"/>
      <c r="D852" s="836"/>
      <c r="E852" s="836"/>
      <c r="F852" s="836"/>
      <c r="G852" s="836"/>
      <c r="H852" s="836"/>
      <c r="I852" s="837"/>
      <c r="J852" s="835"/>
      <c r="K852" s="836"/>
      <c r="L852" s="836"/>
      <c r="M852" s="836"/>
      <c r="N852" s="836"/>
      <c r="O852" s="836"/>
      <c r="P852" s="836"/>
      <c r="Q852" s="836"/>
      <c r="R852" s="836"/>
      <c r="S852" s="837"/>
      <c r="T852" s="835"/>
      <c r="U852" s="836"/>
      <c r="V852" s="836"/>
      <c r="W852" s="836"/>
      <c r="X852" s="836"/>
      <c r="Y852" s="836"/>
      <c r="Z852" s="836"/>
      <c r="AA852" s="836"/>
      <c r="AB852" s="837"/>
      <c r="AC852" s="745"/>
      <c r="AD852" s="770"/>
      <c r="AE852" s="745"/>
      <c r="AF852" s="770"/>
      <c r="AH852" s="222"/>
      <c r="AI852" s="558"/>
      <c r="AJ852" s="557"/>
      <c r="AK852" s="556"/>
      <c r="AL852" s="556"/>
    </row>
    <row r="853" spans="1:38" ht="14.25" customHeight="1" x14ac:dyDescent="0.2">
      <c r="A853" s="564"/>
      <c r="B853" s="332"/>
      <c r="C853" s="835"/>
      <c r="D853" s="836"/>
      <c r="E853" s="836"/>
      <c r="F853" s="836"/>
      <c r="G853" s="836"/>
      <c r="H853" s="836"/>
      <c r="I853" s="837"/>
      <c r="J853" s="835"/>
      <c r="K853" s="836"/>
      <c r="L853" s="836"/>
      <c r="M853" s="836"/>
      <c r="N853" s="836"/>
      <c r="O853" s="836"/>
      <c r="P853" s="836"/>
      <c r="Q853" s="836"/>
      <c r="R853" s="836"/>
      <c r="S853" s="837"/>
      <c r="T853" s="835"/>
      <c r="U853" s="836"/>
      <c r="V853" s="836"/>
      <c r="W853" s="836"/>
      <c r="X853" s="836"/>
      <c r="Y853" s="836"/>
      <c r="Z853" s="836"/>
      <c r="AA853" s="836"/>
      <c r="AB853" s="837"/>
      <c r="AC853" s="745"/>
      <c r="AD853" s="770"/>
      <c r="AE853" s="745"/>
      <c r="AF853" s="770"/>
      <c r="AH853" s="222"/>
      <c r="AI853" s="558"/>
      <c r="AJ853" s="557"/>
      <c r="AK853" s="556"/>
      <c r="AL853" s="556"/>
    </row>
    <row r="854" spans="1:38" ht="14.25" customHeight="1" x14ac:dyDescent="0.2">
      <c r="A854" s="564"/>
      <c r="B854" s="332"/>
      <c r="C854" s="835"/>
      <c r="D854" s="836"/>
      <c r="E854" s="836"/>
      <c r="F854" s="836"/>
      <c r="G854" s="836"/>
      <c r="H854" s="836"/>
      <c r="I854" s="837"/>
      <c r="J854" s="835"/>
      <c r="K854" s="836"/>
      <c r="L854" s="836"/>
      <c r="M854" s="836"/>
      <c r="N854" s="836"/>
      <c r="O854" s="836"/>
      <c r="P854" s="836"/>
      <c r="Q854" s="836"/>
      <c r="R854" s="836"/>
      <c r="S854" s="837"/>
      <c r="T854" s="835"/>
      <c r="U854" s="836"/>
      <c r="V854" s="836"/>
      <c r="W854" s="836"/>
      <c r="X854" s="836"/>
      <c r="Y854" s="836"/>
      <c r="Z854" s="836"/>
      <c r="AA854" s="836"/>
      <c r="AB854" s="837"/>
      <c r="AC854" s="745"/>
      <c r="AD854" s="770"/>
      <c r="AE854" s="745"/>
      <c r="AF854" s="770"/>
      <c r="AH854" s="222"/>
      <c r="AI854" s="558"/>
      <c r="AJ854" s="557"/>
      <c r="AK854" s="556"/>
      <c r="AL854" s="556"/>
    </row>
    <row r="855" spans="1:38" ht="14.25" customHeight="1" x14ac:dyDescent="0.2">
      <c r="A855" s="564"/>
      <c r="B855" s="332"/>
      <c r="C855" s="835"/>
      <c r="D855" s="836"/>
      <c r="E855" s="836"/>
      <c r="F855" s="836"/>
      <c r="G855" s="836"/>
      <c r="H855" s="836"/>
      <c r="I855" s="837"/>
      <c r="J855" s="835"/>
      <c r="K855" s="836"/>
      <c r="L855" s="836"/>
      <c r="M855" s="836"/>
      <c r="N855" s="836"/>
      <c r="O855" s="836"/>
      <c r="P855" s="836"/>
      <c r="Q855" s="836"/>
      <c r="R855" s="836"/>
      <c r="S855" s="837"/>
      <c r="T855" s="835"/>
      <c r="U855" s="836"/>
      <c r="V855" s="836"/>
      <c r="W855" s="836"/>
      <c r="X855" s="836"/>
      <c r="Y855" s="836"/>
      <c r="Z855" s="836"/>
      <c r="AA855" s="836"/>
      <c r="AB855" s="837"/>
      <c r="AC855" s="745"/>
      <c r="AD855" s="770"/>
      <c r="AE855" s="745"/>
      <c r="AF855" s="770"/>
      <c r="AH855" s="222"/>
      <c r="AI855" s="558"/>
      <c r="AJ855" s="557"/>
      <c r="AK855" s="556"/>
      <c r="AL855" s="556"/>
    </row>
    <row r="856" spans="1:38" ht="14.25" customHeight="1" x14ac:dyDescent="0.2">
      <c r="A856" s="564"/>
      <c r="B856" s="332"/>
      <c r="C856" s="835"/>
      <c r="D856" s="836"/>
      <c r="E856" s="836"/>
      <c r="F856" s="836"/>
      <c r="G856" s="836"/>
      <c r="H856" s="836"/>
      <c r="I856" s="837"/>
      <c r="J856" s="835"/>
      <c r="K856" s="836"/>
      <c r="L856" s="836"/>
      <c r="M856" s="836"/>
      <c r="N856" s="836"/>
      <c r="O856" s="836"/>
      <c r="P856" s="836"/>
      <c r="Q856" s="836"/>
      <c r="R856" s="836"/>
      <c r="S856" s="837"/>
      <c r="T856" s="835"/>
      <c r="U856" s="836"/>
      <c r="V856" s="836"/>
      <c r="W856" s="836"/>
      <c r="X856" s="836"/>
      <c r="Y856" s="836"/>
      <c r="Z856" s="836"/>
      <c r="AA856" s="836"/>
      <c r="AB856" s="837"/>
      <c r="AC856" s="745"/>
      <c r="AD856" s="770"/>
      <c r="AE856" s="745"/>
      <c r="AF856" s="770"/>
      <c r="AH856" s="222"/>
      <c r="AI856" s="558"/>
      <c r="AJ856" s="557"/>
      <c r="AK856" s="556"/>
      <c r="AL856" s="556"/>
    </row>
    <row r="857" spans="1:38" ht="14.25" customHeight="1" x14ac:dyDescent="0.2">
      <c r="A857" s="564"/>
      <c r="B857" s="332"/>
      <c r="C857" s="835"/>
      <c r="D857" s="836"/>
      <c r="E857" s="836"/>
      <c r="F857" s="836"/>
      <c r="G857" s="836"/>
      <c r="H857" s="836"/>
      <c r="I857" s="837"/>
      <c r="J857" s="835"/>
      <c r="K857" s="836"/>
      <c r="L857" s="836"/>
      <c r="M857" s="836"/>
      <c r="N857" s="836"/>
      <c r="O857" s="836"/>
      <c r="P857" s="836"/>
      <c r="Q857" s="836"/>
      <c r="R857" s="836"/>
      <c r="S857" s="837"/>
      <c r="T857" s="835"/>
      <c r="U857" s="836"/>
      <c r="V857" s="836"/>
      <c r="W857" s="836"/>
      <c r="X857" s="836"/>
      <c r="Y857" s="836"/>
      <c r="Z857" s="836"/>
      <c r="AA857" s="836"/>
      <c r="AB857" s="837"/>
      <c r="AC857" s="745"/>
      <c r="AD857" s="770"/>
      <c r="AE857" s="745"/>
      <c r="AF857" s="770"/>
      <c r="AH857" s="222"/>
      <c r="AI857" s="558"/>
      <c r="AJ857" s="557"/>
      <c r="AK857" s="556"/>
      <c r="AL857" s="556"/>
    </row>
    <row r="858" spans="1:38" ht="14.25" customHeight="1" x14ac:dyDescent="0.2">
      <c r="A858" s="564"/>
      <c r="B858" s="332"/>
      <c r="C858" s="835"/>
      <c r="D858" s="836"/>
      <c r="E858" s="836"/>
      <c r="F858" s="836"/>
      <c r="G858" s="836"/>
      <c r="H858" s="836"/>
      <c r="I858" s="837"/>
      <c r="J858" s="835"/>
      <c r="K858" s="836"/>
      <c r="L858" s="836"/>
      <c r="M858" s="836"/>
      <c r="N858" s="836"/>
      <c r="O858" s="836"/>
      <c r="P858" s="836"/>
      <c r="Q858" s="836"/>
      <c r="R858" s="836"/>
      <c r="S858" s="837"/>
      <c r="T858" s="835"/>
      <c r="U858" s="836"/>
      <c r="V858" s="836"/>
      <c r="W858" s="836"/>
      <c r="X858" s="836"/>
      <c r="Y858" s="836"/>
      <c r="Z858" s="836"/>
      <c r="AA858" s="836"/>
      <c r="AB858" s="837"/>
      <c r="AC858" s="745"/>
      <c r="AD858" s="770"/>
      <c r="AE858" s="745"/>
      <c r="AF858" s="770"/>
      <c r="AH858" s="222"/>
      <c r="AI858" s="558"/>
      <c r="AJ858" s="557"/>
      <c r="AK858" s="556"/>
      <c r="AL858" s="556"/>
    </row>
    <row r="859" spans="1:38" ht="14.25" customHeight="1" x14ac:dyDescent="0.2">
      <c r="A859" s="564"/>
      <c r="B859" s="332"/>
      <c r="C859" s="835"/>
      <c r="D859" s="836"/>
      <c r="E859" s="836"/>
      <c r="F859" s="836"/>
      <c r="G859" s="836"/>
      <c r="H859" s="836"/>
      <c r="I859" s="837"/>
      <c r="J859" s="835"/>
      <c r="K859" s="836"/>
      <c r="L859" s="836"/>
      <c r="M859" s="836"/>
      <c r="N859" s="836"/>
      <c r="O859" s="836"/>
      <c r="P859" s="836"/>
      <c r="Q859" s="836"/>
      <c r="R859" s="836"/>
      <c r="S859" s="837"/>
      <c r="T859" s="835"/>
      <c r="U859" s="836"/>
      <c r="V859" s="836"/>
      <c r="W859" s="836"/>
      <c r="X859" s="836"/>
      <c r="Y859" s="836"/>
      <c r="Z859" s="836"/>
      <c r="AA859" s="836"/>
      <c r="AB859" s="837"/>
      <c r="AC859" s="745"/>
      <c r="AD859" s="770"/>
      <c r="AE859" s="745"/>
      <c r="AF859" s="770"/>
      <c r="AH859" s="222"/>
      <c r="AI859" s="558"/>
      <c r="AJ859" s="557"/>
      <c r="AK859" s="556"/>
      <c r="AL859" s="556"/>
    </row>
    <row r="860" spans="1:38" ht="14.25" customHeight="1" x14ac:dyDescent="0.2">
      <c r="A860" s="564"/>
      <c r="B860" s="332"/>
      <c r="C860" s="835"/>
      <c r="D860" s="836"/>
      <c r="E860" s="836"/>
      <c r="F860" s="836"/>
      <c r="G860" s="836"/>
      <c r="H860" s="836"/>
      <c r="I860" s="837"/>
      <c r="J860" s="835"/>
      <c r="K860" s="836"/>
      <c r="L860" s="836"/>
      <c r="M860" s="836"/>
      <c r="N860" s="836"/>
      <c r="O860" s="836"/>
      <c r="P860" s="836"/>
      <c r="Q860" s="836"/>
      <c r="R860" s="836"/>
      <c r="S860" s="837"/>
      <c r="T860" s="835"/>
      <c r="U860" s="836"/>
      <c r="V860" s="836"/>
      <c r="W860" s="836"/>
      <c r="X860" s="836"/>
      <c r="Y860" s="836"/>
      <c r="Z860" s="836"/>
      <c r="AA860" s="836"/>
      <c r="AB860" s="837"/>
      <c r="AC860" s="745"/>
      <c r="AD860" s="770"/>
      <c r="AE860" s="745"/>
      <c r="AF860" s="770"/>
      <c r="AG860" s="28"/>
      <c r="AH860" s="222"/>
      <c r="AI860" s="558"/>
      <c r="AJ860" s="557"/>
      <c r="AK860" s="556"/>
      <c r="AL860" s="556"/>
    </row>
    <row r="861" spans="1:38" ht="18" customHeight="1" x14ac:dyDescent="0.2">
      <c r="A861" s="564"/>
      <c r="C861" s="1473" t="s">
        <v>347</v>
      </c>
      <c r="D861" s="1473"/>
      <c r="E861" s="1473"/>
      <c r="F861" s="1473"/>
      <c r="G861" s="1473"/>
      <c r="H861" s="1473"/>
      <c r="I861" s="1473"/>
      <c r="J861" s="1473"/>
      <c r="K861" s="1473"/>
      <c r="L861" s="1473"/>
      <c r="M861" s="1473"/>
      <c r="N861" s="1473"/>
      <c r="O861" s="1473"/>
      <c r="P861" s="1473"/>
      <c r="Q861" s="1473"/>
      <c r="R861" s="1473"/>
      <c r="S861" s="1473"/>
      <c r="T861" s="1473"/>
      <c r="U861" s="1473"/>
      <c r="V861" s="1473"/>
      <c r="W861" s="1473"/>
      <c r="X861" s="1473"/>
      <c r="Y861" s="1473"/>
      <c r="Z861" s="1473"/>
      <c r="AA861" s="1473"/>
      <c r="AB861" s="1473"/>
      <c r="AC861" s="1473"/>
      <c r="AD861" s="1473"/>
      <c r="AE861" s="1473"/>
      <c r="AF861" s="1473"/>
      <c r="AG861" s="1473"/>
      <c r="AH861" s="253" t="s">
        <v>687</v>
      </c>
      <c r="AI861" s="558"/>
      <c r="AJ861" s="557"/>
      <c r="AK861" s="556"/>
      <c r="AL861" s="556"/>
    </row>
    <row r="862" spans="1:38" ht="23.25" customHeight="1" x14ac:dyDescent="0.2">
      <c r="A862" s="564"/>
      <c r="D862" s="815" t="s">
        <v>72</v>
      </c>
      <c r="E862" s="815"/>
      <c r="F862" s="815"/>
      <c r="G862" s="815"/>
      <c r="H862" s="815"/>
      <c r="I862" s="815"/>
      <c r="J862" s="815"/>
      <c r="K862" s="815"/>
      <c r="L862" s="815"/>
      <c r="M862" s="815"/>
      <c r="N862" s="815"/>
      <c r="O862" s="815"/>
      <c r="P862" s="815"/>
      <c r="Q862" s="815"/>
      <c r="R862" s="815"/>
      <c r="S862" s="815"/>
      <c r="T862" s="815"/>
      <c r="U862" s="815"/>
      <c r="V862" s="815"/>
      <c r="W862" s="815"/>
      <c r="X862" s="815"/>
      <c r="Y862" s="815"/>
      <c r="Z862" s="815"/>
      <c r="AA862" s="815"/>
      <c r="AB862" s="815"/>
      <c r="AC862" s="815"/>
      <c r="AD862" s="815"/>
      <c r="AE862" s="815"/>
      <c r="AF862" s="815"/>
      <c r="AH862" s="222"/>
      <c r="AI862" s="558"/>
      <c r="AJ862" s="557"/>
      <c r="AK862" s="556"/>
      <c r="AL862" s="556"/>
    </row>
    <row r="863" spans="1:38" ht="15.75" customHeight="1" x14ac:dyDescent="0.2">
      <c r="A863" s="564"/>
      <c r="C863" s="918" t="s">
        <v>308</v>
      </c>
      <c r="D863" s="919"/>
      <c r="E863" s="919"/>
      <c r="F863" s="919"/>
      <c r="G863" s="919"/>
      <c r="H863" s="919"/>
      <c r="I863" s="920"/>
      <c r="J863" s="918" t="s">
        <v>309</v>
      </c>
      <c r="K863" s="919"/>
      <c r="L863" s="919"/>
      <c r="M863" s="919"/>
      <c r="N863" s="919"/>
      <c r="O863" s="919"/>
      <c r="P863" s="919"/>
      <c r="Q863" s="919"/>
      <c r="R863" s="919"/>
      <c r="S863" s="920"/>
      <c r="T863" s="918" t="s">
        <v>310</v>
      </c>
      <c r="U863" s="919"/>
      <c r="V863" s="919"/>
      <c r="W863" s="919"/>
      <c r="X863" s="919"/>
      <c r="Y863" s="919"/>
      <c r="Z863" s="919"/>
      <c r="AA863" s="919"/>
      <c r="AB863" s="920"/>
      <c r="AC863" s="123" t="s">
        <v>761</v>
      </c>
      <c r="AD863" s="123"/>
      <c r="AE863" s="122"/>
      <c r="AF863" s="158"/>
      <c r="AG863" s="29"/>
      <c r="AH863" s="222"/>
      <c r="AI863" s="558"/>
      <c r="AJ863" s="557"/>
      <c r="AK863" s="556"/>
      <c r="AL863" s="556"/>
    </row>
    <row r="864" spans="1:38" ht="14.25" customHeight="1" x14ac:dyDescent="0.2">
      <c r="A864" s="564"/>
      <c r="C864" s="1054"/>
      <c r="D864" s="1055"/>
      <c r="E864" s="1055"/>
      <c r="F864" s="1055"/>
      <c r="G864" s="1055"/>
      <c r="H864" s="1055"/>
      <c r="I864" s="1056"/>
      <c r="J864" s="1054"/>
      <c r="K864" s="1055"/>
      <c r="L864" s="1055"/>
      <c r="M864" s="1055"/>
      <c r="N864" s="1055"/>
      <c r="O864" s="1055"/>
      <c r="P864" s="1055"/>
      <c r="Q864" s="1055"/>
      <c r="R864" s="1055"/>
      <c r="S864" s="1056"/>
      <c r="T864" s="1054"/>
      <c r="U864" s="1055"/>
      <c r="V864" s="1055"/>
      <c r="W864" s="1055"/>
      <c r="X864" s="1055"/>
      <c r="Y864" s="1055"/>
      <c r="Z864" s="1055"/>
      <c r="AA864" s="1055"/>
      <c r="AB864" s="1056"/>
      <c r="AC864" s="123" t="s">
        <v>529</v>
      </c>
      <c r="AD864" s="124"/>
      <c r="AE864" s="123" t="s">
        <v>530</v>
      </c>
      <c r="AF864" s="122"/>
      <c r="AG864" s="29"/>
      <c r="AH864" s="222"/>
      <c r="AI864" s="558"/>
      <c r="AJ864" s="557"/>
      <c r="AK864" s="556"/>
      <c r="AL864" s="556"/>
    </row>
    <row r="865" spans="1:38" ht="21.75" customHeight="1" x14ac:dyDescent="0.2">
      <c r="A865" s="564"/>
      <c r="B865" s="332"/>
      <c r="C865" s="793"/>
      <c r="D865" s="794"/>
      <c r="E865" s="794"/>
      <c r="F865" s="794"/>
      <c r="G865" s="794"/>
      <c r="H865" s="794"/>
      <c r="I865" s="795"/>
      <c r="J865" s="793"/>
      <c r="K865" s="794"/>
      <c r="L865" s="794"/>
      <c r="M865" s="794"/>
      <c r="N865" s="794"/>
      <c r="O865" s="794"/>
      <c r="P865" s="794"/>
      <c r="Q865" s="794"/>
      <c r="R865" s="794"/>
      <c r="S865" s="795"/>
      <c r="T865" s="793"/>
      <c r="U865" s="794"/>
      <c r="V865" s="794"/>
      <c r="W865" s="794"/>
      <c r="X865" s="794"/>
      <c r="Y865" s="794"/>
      <c r="Z865" s="794"/>
      <c r="AA865" s="794"/>
      <c r="AB865" s="795"/>
      <c r="AC865" s="745"/>
      <c r="AD865" s="770"/>
      <c r="AE865" s="745"/>
      <c r="AF865" s="770"/>
      <c r="AH865" s="222"/>
      <c r="AI865" s="558"/>
      <c r="AJ865" s="557">
        <f>IF(COUNTBLANK(C865:C884)&lt;20,1,0)</f>
        <v>0</v>
      </c>
      <c r="AK865" s="556"/>
      <c r="AL865" s="556"/>
    </row>
    <row r="866" spans="1:38" ht="20.25" customHeight="1" x14ac:dyDescent="0.2">
      <c r="A866" s="564"/>
      <c r="B866" s="332"/>
      <c r="C866" s="793"/>
      <c r="D866" s="794"/>
      <c r="E866" s="794"/>
      <c r="F866" s="794"/>
      <c r="G866" s="794"/>
      <c r="H866" s="794"/>
      <c r="I866" s="795"/>
      <c r="J866" s="793"/>
      <c r="K866" s="794"/>
      <c r="L866" s="794"/>
      <c r="M866" s="794"/>
      <c r="N866" s="794"/>
      <c r="O866" s="794"/>
      <c r="P866" s="794"/>
      <c r="Q866" s="794"/>
      <c r="R866" s="794"/>
      <c r="S866" s="795"/>
      <c r="T866" s="793"/>
      <c r="U866" s="794"/>
      <c r="V866" s="794"/>
      <c r="W866" s="794"/>
      <c r="X866" s="794"/>
      <c r="Y866" s="794"/>
      <c r="Z866" s="794"/>
      <c r="AA866" s="794"/>
      <c r="AB866" s="795"/>
      <c r="AC866" s="745"/>
      <c r="AD866" s="770"/>
      <c r="AE866" s="745"/>
      <c r="AF866" s="770"/>
      <c r="AH866" s="222"/>
      <c r="AI866" s="558"/>
      <c r="AJ866" s="557"/>
      <c r="AK866" s="556"/>
      <c r="AL866" s="556"/>
    </row>
    <row r="867" spans="1:38" ht="14.25" customHeight="1" x14ac:dyDescent="0.2">
      <c r="A867" s="564"/>
      <c r="B867" s="332"/>
      <c r="C867" s="793"/>
      <c r="D867" s="794"/>
      <c r="E867" s="794"/>
      <c r="F867" s="794"/>
      <c r="G867" s="794"/>
      <c r="H867" s="794"/>
      <c r="I867" s="795"/>
      <c r="J867" s="793"/>
      <c r="K867" s="794"/>
      <c r="L867" s="794"/>
      <c r="M867" s="794"/>
      <c r="N867" s="794"/>
      <c r="O867" s="794"/>
      <c r="P867" s="794"/>
      <c r="Q867" s="794"/>
      <c r="R867" s="794"/>
      <c r="S867" s="795"/>
      <c r="T867" s="793"/>
      <c r="U867" s="794"/>
      <c r="V867" s="794"/>
      <c r="W867" s="794"/>
      <c r="X867" s="794"/>
      <c r="Y867" s="794"/>
      <c r="Z867" s="794"/>
      <c r="AA867" s="794"/>
      <c r="AB867" s="795"/>
      <c r="AC867" s="745"/>
      <c r="AD867" s="770"/>
      <c r="AE867" s="745"/>
      <c r="AF867" s="770"/>
      <c r="AH867" s="222"/>
      <c r="AI867" s="558"/>
      <c r="AJ867" s="557"/>
      <c r="AK867" s="556"/>
      <c r="AL867" s="556"/>
    </row>
    <row r="868" spans="1:38" ht="14.25" customHeight="1" x14ac:dyDescent="0.2">
      <c r="A868" s="564"/>
      <c r="B868" s="332"/>
      <c r="C868" s="793"/>
      <c r="D868" s="794"/>
      <c r="E868" s="794"/>
      <c r="F868" s="794"/>
      <c r="G868" s="794"/>
      <c r="H868" s="794"/>
      <c r="I868" s="795"/>
      <c r="J868" s="793"/>
      <c r="K868" s="794"/>
      <c r="L868" s="794"/>
      <c r="M868" s="794"/>
      <c r="N868" s="794"/>
      <c r="O868" s="794"/>
      <c r="P868" s="794"/>
      <c r="Q868" s="794"/>
      <c r="R868" s="794"/>
      <c r="S868" s="795"/>
      <c r="T868" s="793"/>
      <c r="U868" s="794"/>
      <c r="V868" s="794"/>
      <c r="W868" s="794"/>
      <c r="X868" s="794"/>
      <c r="Y868" s="794"/>
      <c r="Z868" s="794"/>
      <c r="AA868" s="794"/>
      <c r="AB868" s="795"/>
      <c r="AC868" s="745"/>
      <c r="AD868" s="770"/>
      <c r="AE868" s="745"/>
      <c r="AF868" s="770"/>
      <c r="AH868" s="222"/>
      <c r="AI868" s="558"/>
      <c r="AJ868" s="557"/>
      <c r="AK868" s="556"/>
      <c r="AL868" s="556"/>
    </row>
    <row r="869" spans="1:38" ht="14.25" customHeight="1" x14ac:dyDescent="0.2">
      <c r="A869" s="564"/>
      <c r="B869" s="332"/>
      <c r="C869" s="793"/>
      <c r="D869" s="794"/>
      <c r="E869" s="794"/>
      <c r="F869" s="794"/>
      <c r="G869" s="794"/>
      <c r="H869" s="794"/>
      <c r="I869" s="795"/>
      <c r="J869" s="793"/>
      <c r="K869" s="794"/>
      <c r="L869" s="794"/>
      <c r="M869" s="794"/>
      <c r="N869" s="794"/>
      <c r="O869" s="794"/>
      <c r="P869" s="794"/>
      <c r="Q869" s="794"/>
      <c r="R869" s="794"/>
      <c r="S869" s="795"/>
      <c r="T869" s="793"/>
      <c r="U869" s="794"/>
      <c r="V869" s="794"/>
      <c r="W869" s="794"/>
      <c r="X869" s="794"/>
      <c r="Y869" s="794"/>
      <c r="Z869" s="794"/>
      <c r="AA869" s="794"/>
      <c r="AB869" s="795"/>
      <c r="AC869" s="745"/>
      <c r="AD869" s="770"/>
      <c r="AE869" s="745"/>
      <c r="AF869" s="770"/>
      <c r="AH869" s="222"/>
      <c r="AI869" s="558"/>
      <c r="AJ869" s="557"/>
      <c r="AK869" s="556"/>
      <c r="AL869" s="556"/>
    </row>
    <row r="870" spans="1:38" ht="14.25" customHeight="1" x14ac:dyDescent="0.2">
      <c r="A870" s="564"/>
      <c r="B870" s="332"/>
      <c r="C870" s="793"/>
      <c r="D870" s="794"/>
      <c r="E870" s="794"/>
      <c r="F870" s="794"/>
      <c r="G870" s="794"/>
      <c r="H870" s="794"/>
      <c r="I870" s="795"/>
      <c r="J870" s="793"/>
      <c r="K870" s="794"/>
      <c r="L870" s="794"/>
      <c r="M870" s="794"/>
      <c r="N870" s="794"/>
      <c r="O870" s="794"/>
      <c r="P870" s="794"/>
      <c r="Q870" s="794"/>
      <c r="R870" s="794"/>
      <c r="S870" s="795"/>
      <c r="T870" s="793"/>
      <c r="U870" s="794"/>
      <c r="V870" s="794"/>
      <c r="W870" s="794"/>
      <c r="X870" s="794"/>
      <c r="Y870" s="794"/>
      <c r="Z870" s="794"/>
      <c r="AA870" s="794"/>
      <c r="AB870" s="795"/>
      <c r="AC870" s="745"/>
      <c r="AD870" s="770"/>
      <c r="AE870" s="745"/>
      <c r="AF870" s="770"/>
      <c r="AH870" s="222"/>
      <c r="AI870" s="558"/>
      <c r="AJ870" s="557"/>
      <c r="AK870" s="556"/>
      <c r="AL870" s="556"/>
    </row>
    <row r="871" spans="1:38" ht="14.25" customHeight="1" x14ac:dyDescent="0.2">
      <c r="A871" s="564"/>
      <c r="B871" s="332"/>
      <c r="C871" s="793"/>
      <c r="D871" s="794"/>
      <c r="E871" s="794"/>
      <c r="F871" s="794"/>
      <c r="G871" s="794"/>
      <c r="H871" s="794"/>
      <c r="I871" s="795"/>
      <c r="J871" s="793"/>
      <c r="K871" s="794"/>
      <c r="L871" s="794"/>
      <c r="M871" s="794"/>
      <c r="N871" s="794"/>
      <c r="O871" s="794"/>
      <c r="P871" s="794"/>
      <c r="Q871" s="794"/>
      <c r="R871" s="794"/>
      <c r="S871" s="795"/>
      <c r="T871" s="793"/>
      <c r="U871" s="794"/>
      <c r="V871" s="794"/>
      <c r="W871" s="794"/>
      <c r="X871" s="794"/>
      <c r="Y871" s="794"/>
      <c r="Z871" s="794"/>
      <c r="AA871" s="794"/>
      <c r="AB871" s="795"/>
      <c r="AC871" s="745"/>
      <c r="AD871" s="770"/>
      <c r="AE871" s="745"/>
      <c r="AF871" s="770"/>
      <c r="AH871" s="222"/>
      <c r="AI871" s="558"/>
      <c r="AJ871" s="557"/>
      <c r="AK871" s="556"/>
      <c r="AL871" s="556"/>
    </row>
    <row r="872" spans="1:38" ht="14.25" customHeight="1" x14ac:dyDescent="0.2">
      <c r="A872" s="564"/>
      <c r="B872" s="332"/>
      <c r="C872" s="793"/>
      <c r="D872" s="794"/>
      <c r="E872" s="794"/>
      <c r="F872" s="794"/>
      <c r="G872" s="794"/>
      <c r="H872" s="794"/>
      <c r="I872" s="795"/>
      <c r="J872" s="793"/>
      <c r="K872" s="794"/>
      <c r="L872" s="794"/>
      <c r="M872" s="794"/>
      <c r="N872" s="794"/>
      <c r="O872" s="794"/>
      <c r="P872" s="794"/>
      <c r="Q872" s="794"/>
      <c r="R872" s="794"/>
      <c r="S872" s="795"/>
      <c r="T872" s="793"/>
      <c r="U872" s="794"/>
      <c r="V872" s="794"/>
      <c r="W872" s="794"/>
      <c r="X872" s="794"/>
      <c r="Y872" s="794"/>
      <c r="Z872" s="794"/>
      <c r="AA872" s="794"/>
      <c r="AB872" s="795"/>
      <c r="AC872" s="745"/>
      <c r="AD872" s="770"/>
      <c r="AE872" s="745"/>
      <c r="AF872" s="770"/>
      <c r="AH872" s="222"/>
      <c r="AI872" s="558"/>
      <c r="AJ872" s="557"/>
      <c r="AK872" s="556"/>
      <c r="AL872" s="556"/>
    </row>
    <row r="873" spans="1:38" ht="14.25" customHeight="1" x14ac:dyDescent="0.2">
      <c r="A873" s="564"/>
      <c r="B873" s="332"/>
      <c r="C873" s="793"/>
      <c r="D873" s="794"/>
      <c r="E873" s="794"/>
      <c r="F873" s="794"/>
      <c r="G873" s="794"/>
      <c r="H873" s="794"/>
      <c r="I873" s="795"/>
      <c r="J873" s="793"/>
      <c r="K873" s="794"/>
      <c r="L873" s="794"/>
      <c r="M873" s="794"/>
      <c r="N873" s="794"/>
      <c r="O873" s="794"/>
      <c r="P873" s="794"/>
      <c r="Q873" s="794"/>
      <c r="R873" s="794"/>
      <c r="S873" s="795"/>
      <c r="T873" s="793"/>
      <c r="U873" s="794"/>
      <c r="V873" s="794"/>
      <c r="W873" s="794"/>
      <c r="X873" s="794"/>
      <c r="Y873" s="794"/>
      <c r="Z873" s="794"/>
      <c r="AA873" s="794"/>
      <c r="AB873" s="795"/>
      <c r="AC873" s="745"/>
      <c r="AD873" s="770"/>
      <c r="AE873" s="745"/>
      <c r="AF873" s="770"/>
      <c r="AH873" s="222"/>
      <c r="AI873" s="558"/>
      <c r="AJ873" s="557"/>
      <c r="AK873" s="556"/>
      <c r="AL873" s="556"/>
    </row>
    <row r="874" spans="1:38" ht="14.25" customHeight="1" x14ac:dyDescent="0.2">
      <c r="A874" s="564"/>
      <c r="B874" s="332"/>
      <c r="C874" s="793"/>
      <c r="D874" s="794"/>
      <c r="E874" s="794"/>
      <c r="F874" s="794"/>
      <c r="G874" s="794"/>
      <c r="H874" s="794"/>
      <c r="I874" s="795"/>
      <c r="J874" s="793"/>
      <c r="K874" s="794"/>
      <c r="L874" s="794"/>
      <c r="M874" s="794"/>
      <c r="N874" s="794"/>
      <c r="O874" s="794"/>
      <c r="P874" s="794"/>
      <c r="Q874" s="794"/>
      <c r="R874" s="794"/>
      <c r="S874" s="795"/>
      <c r="T874" s="793"/>
      <c r="U874" s="794"/>
      <c r="V874" s="794"/>
      <c r="W874" s="794"/>
      <c r="X874" s="794"/>
      <c r="Y874" s="794"/>
      <c r="Z874" s="794"/>
      <c r="AA874" s="794"/>
      <c r="AB874" s="795"/>
      <c r="AC874" s="745"/>
      <c r="AD874" s="770"/>
      <c r="AE874" s="745"/>
      <c r="AF874" s="770"/>
      <c r="AH874" s="222"/>
      <c r="AI874" s="558"/>
      <c r="AJ874" s="557"/>
      <c r="AK874" s="556"/>
      <c r="AL874" s="556"/>
    </row>
    <row r="875" spans="1:38" ht="14.25" customHeight="1" x14ac:dyDescent="0.2">
      <c r="A875" s="564"/>
      <c r="B875" s="332"/>
      <c r="C875" s="793"/>
      <c r="D875" s="794"/>
      <c r="E875" s="794"/>
      <c r="F875" s="794"/>
      <c r="G875" s="794"/>
      <c r="H875" s="794"/>
      <c r="I875" s="795"/>
      <c r="J875" s="793"/>
      <c r="K875" s="794"/>
      <c r="L875" s="794"/>
      <c r="M875" s="794"/>
      <c r="N875" s="794"/>
      <c r="O875" s="794"/>
      <c r="P875" s="794"/>
      <c r="Q875" s="794"/>
      <c r="R875" s="794"/>
      <c r="S875" s="795"/>
      <c r="T875" s="793"/>
      <c r="U875" s="794"/>
      <c r="V875" s="794"/>
      <c r="W875" s="794"/>
      <c r="X875" s="794"/>
      <c r="Y875" s="794"/>
      <c r="Z875" s="794"/>
      <c r="AA875" s="794"/>
      <c r="AB875" s="795"/>
      <c r="AC875" s="745"/>
      <c r="AD875" s="770"/>
      <c r="AE875" s="745"/>
      <c r="AF875" s="770"/>
      <c r="AH875" s="222"/>
      <c r="AI875" s="558"/>
      <c r="AJ875" s="557"/>
      <c r="AK875" s="556"/>
      <c r="AL875" s="556"/>
    </row>
    <row r="876" spans="1:38" ht="14.25" customHeight="1" x14ac:dyDescent="0.2">
      <c r="A876" s="564"/>
      <c r="B876" s="332"/>
      <c r="C876" s="793"/>
      <c r="D876" s="794"/>
      <c r="E876" s="794"/>
      <c r="F876" s="794"/>
      <c r="G876" s="794"/>
      <c r="H876" s="794"/>
      <c r="I876" s="795"/>
      <c r="J876" s="793"/>
      <c r="K876" s="794"/>
      <c r="L876" s="794"/>
      <c r="M876" s="794"/>
      <c r="N876" s="794"/>
      <c r="O876" s="794"/>
      <c r="P876" s="794"/>
      <c r="Q876" s="794"/>
      <c r="R876" s="794"/>
      <c r="S876" s="795"/>
      <c r="T876" s="793"/>
      <c r="U876" s="794"/>
      <c r="V876" s="794"/>
      <c r="W876" s="794"/>
      <c r="X876" s="794"/>
      <c r="Y876" s="794"/>
      <c r="Z876" s="794"/>
      <c r="AA876" s="794"/>
      <c r="AB876" s="795"/>
      <c r="AC876" s="745"/>
      <c r="AD876" s="770"/>
      <c r="AE876" s="745"/>
      <c r="AF876" s="770"/>
      <c r="AH876" s="222"/>
      <c r="AI876" s="558"/>
      <c r="AJ876" s="557"/>
      <c r="AK876" s="556"/>
      <c r="AL876" s="556"/>
    </row>
    <row r="877" spans="1:38" ht="14.25" customHeight="1" x14ac:dyDescent="0.2">
      <c r="A877" s="564"/>
      <c r="B877" s="332"/>
      <c r="C877" s="793"/>
      <c r="D877" s="794"/>
      <c r="E877" s="794"/>
      <c r="F877" s="794"/>
      <c r="G877" s="794"/>
      <c r="H877" s="794"/>
      <c r="I877" s="795"/>
      <c r="J877" s="793"/>
      <c r="K877" s="794"/>
      <c r="L877" s="794"/>
      <c r="M877" s="794"/>
      <c r="N877" s="794"/>
      <c r="O877" s="794"/>
      <c r="P877" s="794"/>
      <c r="Q877" s="794"/>
      <c r="R877" s="794"/>
      <c r="S877" s="795"/>
      <c r="T877" s="793"/>
      <c r="U877" s="794"/>
      <c r="V877" s="794"/>
      <c r="W877" s="794"/>
      <c r="X877" s="794"/>
      <c r="Y877" s="794"/>
      <c r="Z877" s="794"/>
      <c r="AA877" s="794"/>
      <c r="AB877" s="795"/>
      <c r="AC877" s="745"/>
      <c r="AD877" s="770"/>
      <c r="AE877" s="745"/>
      <c r="AF877" s="770"/>
      <c r="AH877" s="222"/>
      <c r="AI877" s="558"/>
      <c r="AJ877" s="557"/>
      <c r="AK877" s="556"/>
      <c r="AL877" s="556"/>
    </row>
    <row r="878" spans="1:38" ht="14.25" customHeight="1" x14ac:dyDescent="0.2">
      <c r="A878" s="564"/>
      <c r="B878" s="332"/>
      <c r="C878" s="793"/>
      <c r="D878" s="794"/>
      <c r="E878" s="794"/>
      <c r="F878" s="794"/>
      <c r="G878" s="794"/>
      <c r="H878" s="794"/>
      <c r="I878" s="795"/>
      <c r="J878" s="793"/>
      <c r="K878" s="794"/>
      <c r="L878" s="794"/>
      <c r="M878" s="794"/>
      <c r="N878" s="794"/>
      <c r="O878" s="794"/>
      <c r="P878" s="794"/>
      <c r="Q878" s="794"/>
      <c r="R878" s="794"/>
      <c r="S878" s="795"/>
      <c r="T878" s="793"/>
      <c r="U878" s="794"/>
      <c r="V878" s="794"/>
      <c r="W878" s="794"/>
      <c r="X878" s="794"/>
      <c r="Y878" s="794"/>
      <c r="Z878" s="794"/>
      <c r="AA878" s="794"/>
      <c r="AB878" s="795"/>
      <c r="AC878" s="745"/>
      <c r="AD878" s="770"/>
      <c r="AE878" s="745"/>
      <c r="AF878" s="770"/>
      <c r="AH878" s="222"/>
      <c r="AI878" s="558"/>
      <c r="AJ878" s="557"/>
      <c r="AK878" s="556"/>
      <c r="AL878" s="556"/>
    </row>
    <row r="879" spans="1:38" ht="14.25" customHeight="1" x14ac:dyDescent="0.2">
      <c r="A879" s="564"/>
      <c r="B879" s="332"/>
      <c r="C879" s="793"/>
      <c r="D879" s="794"/>
      <c r="E879" s="794"/>
      <c r="F879" s="794"/>
      <c r="G879" s="794"/>
      <c r="H879" s="794"/>
      <c r="I879" s="795"/>
      <c r="J879" s="793"/>
      <c r="K879" s="794"/>
      <c r="L879" s="794"/>
      <c r="M879" s="794"/>
      <c r="N879" s="794"/>
      <c r="O879" s="794"/>
      <c r="P879" s="794"/>
      <c r="Q879" s="794"/>
      <c r="R879" s="794"/>
      <c r="S879" s="795"/>
      <c r="T879" s="793"/>
      <c r="U879" s="794"/>
      <c r="V879" s="794"/>
      <c r="W879" s="794"/>
      <c r="X879" s="794"/>
      <c r="Y879" s="794"/>
      <c r="Z879" s="794"/>
      <c r="AA879" s="794"/>
      <c r="AB879" s="795"/>
      <c r="AC879" s="745"/>
      <c r="AD879" s="770"/>
      <c r="AE879" s="745"/>
      <c r="AF879" s="770"/>
      <c r="AH879" s="222"/>
      <c r="AI879" s="558"/>
      <c r="AJ879" s="557"/>
      <c r="AK879" s="556"/>
      <c r="AL879" s="556"/>
    </row>
    <row r="880" spans="1:38" ht="14.25" customHeight="1" x14ac:dyDescent="0.2">
      <c r="A880" s="564"/>
      <c r="B880" s="332"/>
      <c r="C880" s="793"/>
      <c r="D880" s="794"/>
      <c r="E880" s="794"/>
      <c r="F880" s="794"/>
      <c r="G880" s="794"/>
      <c r="H880" s="794"/>
      <c r="I880" s="795"/>
      <c r="J880" s="793"/>
      <c r="K880" s="794"/>
      <c r="L880" s="794"/>
      <c r="M880" s="794"/>
      <c r="N880" s="794"/>
      <c r="O880" s="794"/>
      <c r="P880" s="794"/>
      <c r="Q880" s="794"/>
      <c r="R880" s="794"/>
      <c r="S880" s="795"/>
      <c r="T880" s="793"/>
      <c r="U880" s="794"/>
      <c r="V880" s="794"/>
      <c r="W880" s="794"/>
      <c r="X880" s="794"/>
      <c r="Y880" s="794"/>
      <c r="Z880" s="794"/>
      <c r="AA880" s="794"/>
      <c r="AB880" s="795"/>
      <c r="AC880" s="745"/>
      <c r="AD880" s="770"/>
      <c r="AE880" s="745"/>
      <c r="AF880" s="770"/>
      <c r="AH880" s="222"/>
      <c r="AI880" s="558"/>
      <c r="AJ880" s="557"/>
      <c r="AK880" s="556"/>
      <c r="AL880" s="556"/>
    </row>
    <row r="881" spans="1:38" ht="14.25" customHeight="1" x14ac:dyDescent="0.2">
      <c r="A881" s="564"/>
      <c r="B881" s="332"/>
      <c r="C881" s="793"/>
      <c r="D881" s="794"/>
      <c r="E881" s="794"/>
      <c r="F881" s="794"/>
      <c r="G881" s="794"/>
      <c r="H881" s="794"/>
      <c r="I881" s="795"/>
      <c r="J881" s="793"/>
      <c r="K881" s="794"/>
      <c r="L881" s="794"/>
      <c r="M881" s="794"/>
      <c r="N881" s="794"/>
      <c r="O881" s="794"/>
      <c r="P881" s="794"/>
      <c r="Q881" s="794"/>
      <c r="R881" s="794"/>
      <c r="S881" s="795"/>
      <c r="T881" s="793"/>
      <c r="U881" s="794"/>
      <c r="V881" s="794"/>
      <c r="W881" s="794"/>
      <c r="X881" s="794"/>
      <c r="Y881" s="794"/>
      <c r="Z881" s="794"/>
      <c r="AA881" s="794"/>
      <c r="AB881" s="795"/>
      <c r="AC881" s="745"/>
      <c r="AD881" s="770"/>
      <c r="AE881" s="745"/>
      <c r="AF881" s="770"/>
      <c r="AH881" s="222"/>
      <c r="AI881" s="558"/>
      <c r="AJ881" s="557"/>
      <c r="AK881" s="556"/>
      <c r="AL881" s="556"/>
    </row>
    <row r="882" spans="1:38" ht="14.25" customHeight="1" x14ac:dyDescent="0.2">
      <c r="A882" s="564"/>
      <c r="B882" s="332"/>
      <c r="C882" s="793"/>
      <c r="D882" s="794"/>
      <c r="E882" s="794"/>
      <c r="F882" s="794"/>
      <c r="G882" s="794"/>
      <c r="H882" s="794"/>
      <c r="I882" s="795"/>
      <c r="J882" s="793"/>
      <c r="K882" s="794"/>
      <c r="L882" s="794"/>
      <c r="M882" s="794"/>
      <c r="N882" s="794"/>
      <c r="O882" s="794"/>
      <c r="P882" s="794"/>
      <c r="Q882" s="794"/>
      <c r="R882" s="794"/>
      <c r="S882" s="795"/>
      <c r="T882" s="793"/>
      <c r="U882" s="794"/>
      <c r="V882" s="794"/>
      <c r="W882" s="794"/>
      <c r="X882" s="794"/>
      <c r="Y882" s="794"/>
      <c r="Z882" s="794"/>
      <c r="AA882" s="794"/>
      <c r="AB882" s="795"/>
      <c r="AC882" s="745"/>
      <c r="AD882" s="770"/>
      <c r="AE882" s="745"/>
      <c r="AF882" s="770"/>
      <c r="AH882" s="222"/>
      <c r="AI882" s="558"/>
      <c r="AJ882" s="557"/>
      <c r="AK882" s="556"/>
      <c r="AL882" s="556"/>
    </row>
    <row r="883" spans="1:38" ht="14.25" customHeight="1" x14ac:dyDescent="0.2">
      <c r="A883" s="564"/>
      <c r="B883" s="332"/>
      <c r="C883" s="793"/>
      <c r="D883" s="794"/>
      <c r="E883" s="794"/>
      <c r="F883" s="794"/>
      <c r="G883" s="794"/>
      <c r="H883" s="794"/>
      <c r="I883" s="795"/>
      <c r="J883" s="793"/>
      <c r="K883" s="794"/>
      <c r="L883" s="794"/>
      <c r="M883" s="794"/>
      <c r="N883" s="794"/>
      <c r="O883" s="794"/>
      <c r="P883" s="794"/>
      <c r="Q883" s="794"/>
      <c r="R883" s="794"/>
      <c r="S883" s="795"/>
      <c r="T883" s="793"/>
      <c r="U883" s="794"/>
      <c r="V883" s="794"/>
      <c r="W883" s="794"/>
      <c r="X883" s="794"/>
      <c r="Y883" s="794"/>
      <c r="Z883" s="794"/>
      <c r="AA883" s="794"/>
      <c r="AB883" s="795"/>
      <c r="AC883" s="745"/>
      <c r="AD883" s="770"/>
      <c r="AE883" s="745"/>
      <c r="AF883" s="770"/>
      <c r="AH883" s="222"/>
      <c r="AI883" s="558"/>
      <c r="AJ883" s="557"/>
      <c r="AK883" s="556"/>
      <c r="AL883" s="556"/>
    </row>
    <row r="884" spans="1:38" ht="14.25" customHeight="1" x14ac:dyDescent="0.2">
      <c r="A884" s="564"/>
      <c r="B884" s="332"/>
      <c r="C884" s="793"/>
      <c r="D884" s="794"/>
      <c r="E884" s="794"/>
      <c r="F884" s="794"/>
      <c r="G884" s="794"/>
      <c r="H884" s="794"/>
      <c r="I884" s="795"/>
      <c r="J884" s="793"/>
      <c r="K884" s="794"/>
      <c r="L884" s="794"/>
      <c r="M884" s="794"/>
      <c r="N884" s="794"/>
      <c r="O884" s="794"/>
      <c r="P884" s="794"/>
      <c r="Q884" s="794"/>
      <c r="R884" s="794"/>
      <c r="S884" s="795"/>
      <c r="T884" s="793"/>
      <c r="U884" s="794"/>
      <c r="V884" s="794"/>
      <c r="W884" s="794"/>
      <c r="X884" s="794"/>
      <c r="Y884" s="794"/>
      <c r="Z884" s="794"/>
      <c r="AA884" s="794"/>
      <c r="AB884" s="795"/>
      <c r="AC884" s="745"/>
      <c r="AD884" s="770"/>
      <c r="AE884" s="745"/>
      <c r="AF884" s="770"/>
      <c r="AH884" s="222"/>
      <c r="AI884" s="558"/>
      <c r="AJ884" s="557"/>
      <c r="AK884" s="556"/>
      <c r="AL884" s="556"/>
    </row>
    <row r="885" spans="1:38" ht="4.5" customHeight="1" x14ac:dyDescent="0.2">
      <c r="A885" s="564"/>
      <c r="AH885" s="222"/>
      <c r="AI885" s="558"/>
      <c r="AJ885" s="557"/>
      <c r="AK885" s="556"/>
      <c r="AL885" s="556"/>
    </row>
    <row r="886" spans="1:38" ht="15" customHeight="1" x14ac:dyDescent="0.25">
      <c r="A886" s="564"/>
      <c r="C886" s="894" t="s">
        <v>313</v>
      </c>
      <c r="D886" s="894"/>
      <c r="E886" s="894"/>
      <c r="F886" s="894"/>
      <c r="G886" s="894"/>
      <c r="H886" s="894"/>
      <c r="I886" s="894"/>
      <c r="J886" s="894"/>
      <c r="K886" s="894"/>
      <c r="L886" s="894"/>
      <c r="M886" s="894"/>
      <c r="N886" s="894"/>
      <c r="O886" s="894"/>
      <c r="P886" s="894"/>
      <c r="Q886" s="894"/>
      <c r="R886" s="894"/>
      <c r="S886" s="894"/>
      <c r="T886" s="894"/>
      <c r="U886" s="894"/>
      <c r="V886" s="894"/>
      <c r="W886" s="894"/>
      <c r="X886" s="894"/>
      <c r="Y886" s="894"/>
      <c r="Z886" s="894"/>
      <c r="AA886" s="894"/>
      <c r="AB886" s="894"/>
      <c r="AC886" s="894"/>
      <c r="AD886" s="894"/>
      <c r="AE886" s="894"/>
      <c r="AF886" s="894"/>
      <c r="AG886" s="894"/>
      <c r="AH886" s="257"/>
      <c r="AI886" s="558"/>
      <c r="AJ886" s="557"/>
      <c r="AK886" s="556"/>
      <c r="AL886" s="556"/>
    </row>
    <row r="887" spans="1:38" ht="3.75" customHeight="1" x14ac:dyDescent="0.2">
      <c r="A887" s="564"/>
      <c r="AH887" s="255"/>
      <c r="AI887" s="558"/>
      <c r="AJ887" s="557"/>
      <c r="AK887" s="556"/>
      <c r="AL887" s="556"/>
    </row>
    <row r="888" spans="1:38" ht="13.5" customHeight="1" x14ac:dyDescent="0.2">
      <c r="A888" s="564"/>
      <c r="C888" s="48" t="s">
        <v>350</v>
      </c>
      <c r="D888" s="47"/>
      <c r="E888" s="47"/>
      <c r="F888" s="47"/>
      <c r="G888" s="47"/>
      <c r="H888" s="47"/>
      <c r="I888" s="47"/>
      <c r="J888" s="47"/>
      <c r="K888" s="47"/>
      <c r="L888" s="47"/>
      <c r="M888" s="47"/>
      <c r="N888" s="47"/>
      <c r="O888" s="47"/>
      <c r="P888" s="47"/>
      <c r="Q888" s="47"/>
      <c r="X888" s="745"/>
      <c r="Y888" s="770"/>
      <c r="Z888" s="106" t="s">
        <v>697</v>
      </c>
      <c r="AH888" s="255"/>
      <c r="AI888" s="558"/>
      <c r="AJ888" s="557">
        <f>IF(X888="No", 1, IF(X888="Yes", IF(COUNTA(C892)+COUNTA(I892)+COUNTA(M892)=3,1,0),0))</f>
        <v>0</v>
      </c>
      <c r="AK888" s="556">
        <f>IF(AF125="X", IF(AJ888=0,1,2),0)</f>
        <v>0</v>
      </c>
      <c r="AL888" s="556"/>
    </row>
    <row r="889" spans="1:38" ht="3" customHeight="1" x14ac:dyDescent="0.2">
      <c r="A889" s="564"/>
      <c r="C889" s="48"/>
      <c r="D889" s="47"/>
      <c r="E889" s="47"/>
      <c r="F889" s="47"/>
      <c r="G889" s="47"/>
      <c r="H889" s="47"/>
      <c r="I889" s="47"/>
      <c r="J889" s="47"/>
      <c r="K889" s="47"/>
      <c r="L889" s="47"/>
      <c r="M889" s="47"/>
      <c r="N889" s="47"/>
      <c r="O889" s="47"/>
      <c r="P889" s="47"/>
      <c r="Q889" s="47"/>
      <c r="V889" s="48"/>
      <c r="W889" s="48"/>
      <c r="X889" s="48"/>
      <c r="Y889" s="48"/>
      <c r="Z889" s="48"/>
      <c r="AA889" s="48"/>
      <c r="AB889" s="48"/>
      <c r="AH889" s="255"/>
      <c r="AI889" s="558"/>
      <c r="AJ889" s="557"/>
      <c r="AK889" s="556"/>
      <c r="AL889" s="556"/>
    </row>
    <row r="890" spans="1:38" ht="12.75" customHeight="1" x14ac:dyDescent="0.2">
      <c r="A890" s="564"/>
      <c r="B890" s="340"/>
      <c r="C890" s="908" t="s">
        <v>114</v>
      </c>
      <c r="D890" s="909"/>
      <c r="E890" s="909"/>
      <c r="F890" s="909"/>
      <c r="G890" s="909"/>
      <c r="H890" s="909"/>
      <c r="I890" s="908" t="s">
        <v>532</v>
      </c>
      <c r="J890" s="909"/>
      <c r="K890" s="909"/>
      <c r="L890" s="913"/>
      <c r="M890" s="902" t="s">
        <v>533</v>
      </c>
      <c r="N890" s="903"/>
      <c r="O890" s="903"/>
      <c r="P890" s="903"/>
      <c r="Q890" s="903"/>
      <c r="R890" s="903"/>
      <c r="S890" s="903"/>
      <c r="T890" s="903"/>
      <c r="U890" s="903"/>
      <c r="V890" s="903"/>
      <c r="W890" s="903"/>
      <c r="X890" s="903"/>
      <c r="Y890" s="903"/>
      <c r="Z890" s="903"/>
      <c r="AA890" s="903"/>
      <c r="AB890" s="903"/>
      <c r="AC890" s="903"/>
      <c r="AD890" s="903"/>
      <c r="AE890" s="903"/>
      <c r="AF890" s="903"/>
      <c r="AG890" s="904"/>
      <c r="AH890" s="254"/>
      <c r="AI890" s="558"/>
      <c r="AJ890" s="557"/>
      <c r="AK890" s="556"/>
      <c r="AL890" s="556"/>
    </row>
    <row r="891" spans="1:38" ht="11.25" customHeight="1" x14ac:dyDescent="0.2">
      <c r="A891" s="564"/>
      <c r="B891" s="340"/>
      <c r="C891" s="910"/>
      <c r="D891" s="911"/>
      <c r="E891" s="911"/>
      <c r="F891" s="911"/>
      <c r="G891" s="911"/>
      <c r="H891" s="911"/>
      <c r="I891" s="910"/>
      <c r="J891" s="911"/>
      <c r="K891" s="911"/>
      <c r="L891" s="914"/>
      <c r="M891" s="905"/>
      <c r="N891" s="906"/>
      <c r="O891" s="906"/>
      <c r="P891" s="906"/>
      <c r="Q891" s="906"/>
      <c r="R891" s="906"/>
      <c r="S891" s="906"/>
      <c r="T891" s="906"/>
      <c r="U891" s="906"/>
      <c r="V891" s="906"/>
      <c r="W891" s="906"/>
      <c r="X891" s="906"/>
      <c r="Y891" s="906"/>
      <c r="Z891" s="906"/>
      <c r="AA891" s="906"/>
      <c r="AB891" s="906"/>
      <c r="AC891" s="906"/>
      <c r="AD891" s="906"/>
      <c r="AE891" s="906"/>
      <c r="AF891" s="906"/>
      <c r="AG891" s="907"/>
      <c r="AH891" s="254"/>
      <c r="AI891" s="558"/>
      <c r="AJ891" s="557"/>
      <c r="AK891" s="556"/>
      <c r="AL891" s="556"/>
    </row>
    <row r="892" spans="1:38" ht="28.5" customHeight="1" x14ac:dyDescent="0.2">
      <c r="A892" s="564"/>
      <c r="B892" s="340"/>
      <c r="C892" s="868"/>
      <c r="D892" s="869"/>
      <c r="E892" s="869"/>
      <c r="F892" s="869"/>
      <c r="G892" s="869"/>
      <c r="H892" s="870"/>
      <c r="I892" s="812"/>
      <c r="J892" s="813"/>
      <c r="K892" s="813"/>
      <c r="L892" s="814"/>
      <c r="M892" s="811"/>
      <c r="N892" s="811"/>
      <c r="O892" s="811"/>
      <c r="P892" s="811"/>
      <c r="Q892" s="811"/>
      <c r="R892" s="811"/>
      <c r="S892" s="811"/>
      <c r="T892" s="811"/>
      <c r="U892" s="811"/>
      <c r="V892" s="811"/>
      <c r="W892" s="811"/>
      <c r="X892" s="811"/>
      <c r="Y892" s="811"/>
      <c r="Z892" s="811"/>
      <c r="AA892" s="811"/>
      <c r="AB892" s="811"/>
      <c r="AC892" s="811"/>
      <c r="AD892" s="811"/>
      <c r="AE892" s="811"/>
      <c r="AF892" s="811"/>
      <c r="AG892" s="811"/>
      <c r="AH892" s="254"/>
      <c r="AI892" s="558"/>
      <c r="AJ892" s="557"/>
      <c r="AK892" s="556"/>
      <c r="AL892" s="556"/>
    </row>
    <row r="893" spans="1:38" ht="26.25" customHeight="1" x14ac:dyDescent="0.2">
      <c r="A893" s="564"/>
      <c r="B893" s="340"/>
      <c r="C893" s="868"/>
      <c r="D893" s="869"/>
      <c r="E893" s="869"/>
      <c r="F893" s="869"/>
      <c r="G893" s="869"/>
      <c r="H893" s="870"/>
      <c r="I893" s="812"/>
      <c r="J893" s="813"/>
      <c r="K893" s="813"/>
      <c r="L893" s="814"/>
      <c r="M893" s="811"/>
      <c r="N893" s="811"/>
      <c r="O893" s="811"/>
      <c r="P893" s="811"/>
      <c r="Q893" s="811"/>
      <c r="R893" s="811"/>
      <c r="S893" s="811"/>
      <c r="T893" s="811"/>
      <c r="U893" s="811"/>
      <c r="V893" s="811"/>
      <c r="W893" s="811"/>
      <c r="X893" s="811"/>
      <c r="Y893" s="811"/>
      <c r="Z893" s="811"/>
      <c r="AA893" s="811"/>
      <c r="AB893" s="811"/>
      <c r="AC893" s="811"/>
      <c r="AD893" s="811"/>
      <c r="AE893" s="811"/>
      <c r="AF893" s="811"/>
      <c r="AG893" s="811"/>
      <c r="AH893" s="261"/>
      <c r="AI893" s="558"/>
      <c r="AJ893" s="557"/>
      <c r="AK893" s="556"/>
      <c r="AL893" s="556"/>
    </row>
    <row r="894" spans="1:38" ht="14.45" customHeight="1" x14ac:dyDescent="0.2">
      <c r="A894" s="564"/>
      <c r="B894" s="340"/>
      <c r="C894" s="868"/>
      <c r="D894" s="869"/>
      <c r="E894" s="869"/>
      <c r="F894" s="869"/>
      <c r="G894" s="869"/>
      <c r="H894" s="870"/>
      <c r="I894" s="812"/>
      <c r="J894" s="813"/>
      <c r="K894" s="813"/>
      <c r="L894" s="814"/>
      <c r="M894" s="811"/>
      <c r="N894" s="811"/>
      <c r="O894" s="811"/>
      <c r="P894" s="811"/>
      <c r="Q894" s="811"/>
      <c r="R894" s="811"/>
      <c r="S894" s="811"/>
      <c r="T894" s="811"/>
      <c r="U894" s="811"/>
      <c r="V894" s="811"/>
      <c r="W894" s="811"/>
      <c r="X894" s="811"/>
      <c r="Y894" s="811"/>
      <c r="Z894" s="811"/>
      <c r="AA894" s="811"/>
      <c r="AB894" s="811"/>
      <c r="AC894" s="811"/>
      <c r="AD894" s="811"/>
      <c r="AE894" s="811"/>
      <c r="AF894" s="811"/>
      <c r="AG894" s="811"/>
      <c r="AH894" s="261"/>
      <c r="AI894" s="558"/>
      <c r="AJ894" s="557"/>
      <c r="AK894" s="556"/>
      <c r="AL894" s="556"/>
    </row>
    <row r="895" spans="1:38" ht="14.45" customHeight="1" x14ac:dyDescent="0.2">
      <c r="A895" s="564"/>
      <c r="B895" s="340"/>
      <c r="C895" s="868"/>
      <c r="D895" s="869"/>
      <c r="E895" s="869"/>
      <c r="F895" s="869"/>
      <c r="G895" s="869"/>
      <c r="H895" s="870"/>
      <c r="I895" s="812"/>
      <c r="J895" s="813"/>
      <c r="K895" s="813"/>
      <c r="L895" s="814"/>
      <c r="M895" s="811"/>
      <c r="N895" s="811"/>
      <c r="O895" s="811"/>
      <c r="P895" s="811"/>
      <c r="Q895" s="811"/>
      <c r="R895" s="811"/>
      <c r="S895" s="811"/>
      <c r="T895" s="811"/>
      <c r="U895" s="811"/>
      <c r="V895" s="811"/>
      <c r="W895" s="811"/>
      <c r="X895" s="811"/>
      <c r="Y895" s="811"/>
      <c r="Z895" s="811"/>
      <c r="AA895" s="811"/>
      <c r="AB895" s="811"/>
      <c r="AC895" s="811"/>
      <c r="AD895" s="811"/>
      <c r="AE895" s="811"/>
      <c r="AF895" s="811"/>
      <c r="AG895" s="811"/>
      <c r="AH895" s="261"/>
      <c r="AI895" s="558"/>
      <c r="AJ895" s="557"/>
      <c r="AK895" s="556"/>
      <c r="AL895" s="556"/>
    </row>
    <row r="896" spans="1:38" ht="14.45" customHeight="1" x14ac:dyDescent="0.2">
      <c r="A896" s="564"/>
      <c r="B896" s="340"/>
      <c r="C896" s="868"/>
      <c r="D896" s="869"/>
      <c r="E896" s="869"/>
      <c r="F896" s="869"/>
      <c r="G896" s="869"/>
      <c r="H896" s="870"/>
      <c r="I896" s="812"/>
      <c r="J896" s="813"/>
      <c r="K896" s="813"/>
      <c r="L896" s="814"/>
      <c r="M896" s="811"/>
      <c r="N896" s="811"/>
      <c r="O896" s="811"/>
      <c r="P896" s="811"/>
      <c r="Q896" s="811"/>
      <c r="R896" s="811"/>
      <c r="S896" s="811"/>
      <c r="T896" s="811"/>
      <c r="U896" s="811"/>
      <c r="V896" s="811"/>
      <c r="W896" s="811"/>
      <c r="X896" s="811"/>
      <c r="Y896" s="811"/>
      <c r="Z896" s="811"/>
      <c r="AA896" s="811"/>
      <c r="AB896" s="811"/>
      <c r="AC896" s="811"/>
      <c r="AD896" s="811"/>
      <c r="AE896" s="811"/>
      <c r="AF896" s="811"/>
      <c r="AG896" s="811"/>
      <c r="AH896" s="261"/>
      <c r="AI896" s="558"/>
      <c r="AJ896" s="557"/>
      <c r="AK896" s="556"/>
      <c r="AL896" s="556"/>
    </row>
    <row r="897" spans="1:38" ht="14.45" customHeight="1" x14ac:dyDescent="0.2">
      <c r="A897" s="564"/>
      <c r="B897" s="340"/>
      <c r="C897" s="868"/>
      <c r="D897" s="869"/>
      <c r="E897" s="869"/>
      <c r="F897" s="869"/>
      <c r="G897" s="869"/>
      <c r="H897" s="870"/>
      <c r="I897" s="812"/>
      <c r="J897" s="813"/>
      <c r="K897" s="813"/>
      <c r="L897" s="814"/>
      <c r="M897" s="811"/>
      <c r="N897" s="811"/>
      <c r="O897" s="811"/>
      <c r="P897" s="811"/>
      <c r="Q897" s="811"/>
      <c r="R897" s="811"/>
      <c r="S897" s="811"/>
      <c r="T897" s="811"/>
      <c r="U897" s="811"/>
      <c r="V897" s="811"/>
      <c r="W897" s="811"/>
      <c r="X897" s="811"/>
      <c r="Y897" s="811"/>
      <c r="Z897" s="811"/>
      <c r="AA897" s="811"/>
      <c r="AB897" s="811"/>
      <c r="AC897" s="811"/>
      <c r="AD897" s="811"/>
      <c r="AE897" s="811"/>
      <c r="AF897" s="811"/>
      <c r="AG897" s="811"/>
      <c r="AH897" s="261"/>
      <c r="AI897" s="558"/>
      <c r="AJ897" s="557"/>
      <c r="AK897" s="556"/>
      <c r="AL897" s="556"/>
    </row>
    <row r="898" spans="1:38" ht="14.45" customHeight="1" x14ac:dyDescent="0.2">
      <c r="A898" s="564"/>
      <c r="B898" s="340"/>
      <c r="C898" s="868"/>
      <c r="D898" s="869"/>
      <c r="E898" s="869"/>
      <c r="F898" s="869"/>
      <c r="G898" s="869"/>
      <c r="H898" s="870"/>
      <c r="I898" s="812"/>
      <c r="J898" s="813"/>
      <c r="K898" s="813"/>
      <c r="L898" s="814"/>
      <c r="M898" s="811"/>
      <c r="N898" s="811"/>
      <c r="O898" s="811"/>
      <c r="P898" s="811"/>
      <c r="Q898" s="811"/>
      <c r="R898" s="811"/>
      <c r="S898" s="811"/>
      <c r="T898" s="811"/>
      <c r="U898" s="811"/>
      <c r="V898" s="811"/>
      <c r="W898" s="811"/>
      <c r="X898" s="811"/>
      <c r="Y898" s="811"/>
      <c r="Z898" s="811"/>
      <c r="AA898" s="811"/>
      <c r="AB898" s="811"/>
      <c r="AC898" s="811"/>
      <c r="AD898" s="811"/>
      <c r="AE898" s="811"/>
      <c r="AF898" s="811"/>
      <c r="AG898" s="811"/>
      <c r="AH898" s="261"/>
      <c r="AI898" s="558"/>
      <c r="AJ898" s="557"/>
      <c r="AK898" s="556"/>
      <c r="AL898" s="556"/>
    </row>
    <row r="899" spans="1:38" ht="14.45" customHeight="1" x14ac:dyDescent="0.2">
      <c r="A899" s="564"/>
      <c r="B899" s="340"/>
      <c r="C899" s="868"/>
      <c r="D899" s="869"/>
      <c r="E899" s="869"/>
      <c r="F899" s="869"/>
      <c r="G899" s="869"/>
      <c r="H899" s="870"/>
      <c r="I899" s="812"/>
      <c r="J899" s="813"/>
      <c r="K899" s="813"/>
      <c r="L899" s="814"/>
      <c r="M899" s="811"/>
      <c r="N899" s="811"/>
      <c r="O899" s="811"/>
      <c r="P899" s="811"/>
      <c r="Q899" s="811"/>
      <c r="R899" s="811"/>
      <c r="S899" s="811"/>
      <c r="T899" s="811"/>
      <c r="U899" s="811"/>
      <c r="V899" s="811"/>
      <c r="W899" s="811"/>
      <c r="X899" s="811"/>
      <c r="Y899" s="811"/>
      <c r="Z899" s="811"/>
      <c r="AA899" s="811"/>
      <c r="AB899" s="811"/>
      <c r="AC899" s="811"/>
      <c r="AD899" s="811"/>
      <c r="AE899" s="811"/>
      <c r="AF899" s="811"/>
      <c r="AG899" s="811"/>
      <c r="AH899" s="261"/>
      <c r="AI899" s="558"/>
      <c r="AJ899" s="557"/>
      <c r="AK899" s="556"/>
      <c r="AL899" s="556"/>
    </row>
    <row r="900" spans="1:38" ht="14.45" customHeight="1" x14ac:dyDescent="0.2">
      <c r="A900" s="564"/>
      <c r="B900" s="340"/>
      <c r="C900" s="868"/>
      <c r="D900" s="869"/>
      <c r="E900" s="869"/>
      <c r="F900" s="869"/>
      <c r="G900" s="869"/>
      <c r="H900" s="870"/>
      <c r="I900" s="812"/>
      <c r="J900" s="813"/>
      <c r="K900" s="813"/>
      <c r="L900" s="814"/>
      <c r="M900" s="811"/>
      <c r="N900" s="811"/>
      <c r="O900" s="811"/>
      <c r="P900" s="811"/>
      <c r="Q900" s="811"/>
      <c r="R900" s="811"/>
      <c r="S900" s="811"/>
      <c r="T900" s="811"/>
      <c r="U900" s="811"/>
      <c r="V900" s="811"/>
      <c r="W900" s="811"/>
      <c r="X900" s="811"/>
      <c r="Y900" s="811"/>
      <c r="Z900" s="811"/>
      <c r="AA900" s="811"/>
      <c r="AB900" s="811"/>
      <c r="AC900" s="811"/>
      <c r="AD900" s="811"/>
      <c r="AE900" s="811"/>
      <c r="AF900" s="811"/>
      <c r="AG900" s="811"/>
      <c r="AH900" s="261"/>
      <c r="AI900" s="558"/>
      <c r="AJ900" s="557"/>
      <c r="AK900" s="556"/>
      <c r="AL900" s="556"/>
    </row>
    <row r="901" spans="1:38" ht="14.45" customHeight="1" x14ac:dyDescent="0.2">
      <c r="A901" s="564"/>
      <c r="B901" s="340"/>
      <c r="C901" s="868"/>
      <c r="D901" s="869"/>
      <c r="E901" s="869"/>
      <c r="F901" s="869"/>
      <c r="G901" s="869"/>
      <c r="H901" s="870"/>
      <c r="I901" s="812"/>
      <c r="J901" s="813"/>
      <c r="K901" s="813"/>
      <c r="L901" s="814"/>
      <c r="M901" s="811"/>
      <c r="N901" s="811"/>
      <c r="O901" s="811"/>
      <c r="P901" s="811"/>
      <c r="Q901" s="811"/>
      <c r="R901" s="811"/>
      <c r="S901" s="811"/>
      <c r="T901" s="811"/>
      <c r="U901" s="811"/>
      <c r="V901" s="811"/>
      <c r="W901" s="811"/>
      <c r="X901" s="811"/>
      <c r="Y901" s="811"/>
      <c r="Z901" s="811"/>
      <c r="AA901" s="811"/>
      <c r="AB901" s="811"/>
      <c r="AC901" s="811"/>
      <c r="AD901" s="811"/>
      <c r="AE901" s="811"/>
      <c r="AF901" s="811"/>
      <c r="AG901" s="811"/>
      <c r="AH901" s="261"/>
      <c r="AI901" s="558"/>
      <c r="AJ901" s="557"/>
      <c r="AK901" s="556"/>
      <c r="AL901" s="556"/>
    </row>
    <row r="902" spans="1:38" ht="4.5" customHeight="1" x14ac:dyDescent="0.2">
      <c r="A902" s="564"/>
      <c r="B902" s="340"/>
      <c r="C902" s="55"/>
      <c r="D902" s="55"/>
      <c r="E902" s="55"/>
      <c r="F902" s="55"/>
      <c r="G902" s="55"/>
      <c r="H902" s="55"/>
      <c r="I902" s="55"/>
      <c r="J902" s="55"/>
      <c r="K902" s="55"/>
      <c r="L902" s="55"/>
      <c r="M902" s="55"/>
      <c r="N902" s="55"/>
      <c r="O902" s="55"/>
      <c r="P902" s="55"/>
      <c r="Q902" s="55"/>
      <c r="R902" s="55"/>
      <c r="S902" s="55"/>
      <c r="AH902" s="222"/>
      <c r="AI902" s="558"/>
      <c r="AJ902" s="557"/>
      <c r="AK902" s="556"/>
      <c r="AL902" s="556"/>
    </row>
    <row r="903" spans="1:38" ht="14.25" customHeight="1" x14ac:dyDescent="0.2">
      <c r="A903" s="564"/>
      <c r="B903" s="340"/>
      <c r="C903" s="12" t="s">
        <v>113</v>
      </c>
      <c r="D903" s="5"/>
      <c r="E903" s="5"/>
      <c r="AG903" s="32"/>
      <c r="AH903" s="222"/>
      <c r="AI903" s="558"/>
      <c r="AJ903" s="557"/>
      <c r="AK903" s="556"/>
      <c r="AL903" s="556"/>
    </row>
    <row r="904" spans="1:38" ht="52.5" customHeight="1" x14ac:dyDescent="0.2">
      <c r="A904" s="564"/>
      <c r="B904" s="340"/>
      <c r="C904" s="12"/>
      <c r="D904" s="912" t="s">
        <v>112</v>
      </c>
      <c r="E904" s="912"/>
      <c r="F904" s="912"/>
      <c r="G904" s="912"/>
      <c r="H904" s="912"/>
      <c r="I904" s="912"/>
      <c r="J904" s="912"/>
      <c r="K904" s="912"/>
      <c r="L904" s="912"/>
      <c r="M904" s="912"/>
      <c r="N904" s="912"/>
      <c r="O904" s="912"/>
      <c r="P904" s="912"/>
      <c r="Q904" s="912"/>
      <c r="R904" s="912"/>
      <c r="S904" s="912"/>
      <c r="T904" s="912"/>
      <c r="U904" s="912"/>
      <c r="V904" s="912"/>
      <c r="W904" s="912"/>
      <c r="X904" s="912"/>
      <c r="Y904" s="912"/>
      <c r="Z904" s="912"/>
      <c r="AA904" s="912"/>
      <c r="AB904" s="912"/>
      <c r="AC904" s="912"/>
      <c r="AD904" s="912"/>
      <c r="AE904" s="912"/>
      <c r="AF904" s="912"/>
      <c r="AG904" s="32"/>
      <c r="AH904" s="222"/>
      <c r="AI904" s="558"/>
      <c r="AJ904" s="557"/>
      <c r="AK904" s="556"/>
      <c r="AL904" s="556"/>
    </row>
    <row r="905" spans="1:38" ht="13.5" customHeight="1" x14ac:dyDescent="0.2">
      <c r="A905" s="564"/>
      <c r="B905" s="340"/>
      <c r="C905" s="871" t="s">
        <v>710</v>
      </c>
      <c r="D905" s="872"/>
      <c r="E905" s="872"/>
      <c r="F905" s="872"/>
      <c r="G905" s="872"/>
      <c r="H905" s="872"/>
      <c r="I905" s="872"/>
      <c r="J905" s="872"/>
      <c r="K905" s="872"/>
      <c r="L905" s="872"/>
      <c r="M905" s="872"/>
      <c r="N905" s="873"/>
      <c r="O905" s="787"/>
      <c r="P905" s="788"/>
      <c r="Q905" s="788"/>
      <c r="R905" s="788"/>
      <c r="S905" s="788"/>
      <c r="T905" s="788"/>
      <c r="U905" s="788"/>
      <c r="V905" s="788"/>
      <c r="W905" s="788"/>
      <c r="X905" s="788"/>
      <c r="Y905" s="788"/>
      <c r="Z905" s="788"/>
      <c r="AA905" s="788"/>
      <c r="AB905" s="788"/>
      <c r="AC905" s="788"/>
      <c r="AD905" s="788"/>
      <c r="AE905" s="788"/>
      <c r="AF905" s="788"/>
      <c r="AG905" s="789"/>
      <c r="AH905" s="222"/>
      <c r="AI905" s="558"/>
      <c r="AJ905" s="557"/>
      <c r="AK905" s="556"/>
      <c r="AL905" s="556"/>
    </row>
    <row r="906" spans="1:38" ht="13.5" customHeight="1" x14ac:dyDescent="0.2">
      <c r="A906" s="564"/>
      <c r="B906" s="340"/>
      <c r="C906" s="173" t="s">
        <v>578</v>
      </c>
      <c r="D906" s="163"/>
      <c r="E906" s="163"/>
      <c r="F906" s="163"/>
      <c r="G906" s="163"/>
      <c r="H906" s="163"/>
      <c r="I906" s="163"/>
      <c r="J906" s="163"/>
      <c r="K906" s="163"/>
      <c r="L906" s="163"/>
      <c r="M906" s="163"/>
      <c r="N906" s="174" t="s">
        <v>1001</v>
      </c>
      <c r="O906" s="808"/>
      <c r="P906" s="809"/>
      <c r="Q906" s="810"/>
      <c r="R906" s="787"/>
      <c r="S906" s="788"/>
      <c r="T906" s="788"/>
      <c r="U906" s="788"/>
      <c r="V906" s="788"/>
      <c r="W906" s="788"/>
      <c r="X906" s="788"/>
      <c r="Y906" s="788"/>
      <c r="Z906" s="789"/>
      <c r="AA906" s="787"/>
      <c r="AB906" s="788"/>
      <c r="AC906" s="788"/>
      <c r="AD906" s="788"/>
      <c r="AE906" s="788"/>
      <c r="AF906" s="788"/>
      <c r="AG906" s="789"/>
      <c r="AH906" s="222"/>
      <c r="AI906" s="558"/>
      <c r="AJ906" s="557"/>
      <c r="AK906" s="556"/>
      <c r="AL906" s="556"/>
    </row>
    <row r="907" spans="1:38" ht="13.5" customHeight="1" x14ac:dyDescent="0.2">
      <c r="A907" s="564"/>
      <c r="B907" s="340"/>
      <c r="C907" s="162"/>
      <c r="D907" s="163"/>
      <c r="E907" s="163"/>
      <c r="F907" s="163"/>
      <c r="G907" s="163"/>
      <c r="H907" s="163"/>
      <c r="I907" s="163"/>
      <c r="J907" s="163"/>
      <c r="K907" s="163"/>
      <c r="L907" s="163"/>
      <c r="M907" s="163"/>
      <c r="N907" s="174" t="s">
        <v>502</v>
      </c>
      <c r="O907" s="787"/>
      <c r="P907" s="788"/>
      <c r="Q907" s="788"/>
      <c r="R907" s="788"/>
      <c r="S907" s="788"/>
      <c r="T907" s="788"/>
      <c r="U907" s="788"/>
      <c r="V907" s="789"/>
      <c r="W907" s="796"/>
      <c r="X907" s="797"/>
      <c r="Y907" s="797"/>
      <c r="Z907" s="797"/>
      <c r="AA907" s="797"/>
      <c r="AB907" s="797"/>
      <c r="AC907" s="797"/>
      <c r="AD907" s="798"/>
      <c r="AE907" s="805"/>
      <c r="AF907" s="806"/>
      <c r="AG907" s="807"/>
      <c r="AH907" s="222"/>
      <c r="AI907" s="558"/>
      <c r="AJ907" s="557"/>
      <c r="AK907" s="556"/>
      <c r="AL907" s="556"/>
    </row>
    <row r="908" spans="1:38" ht="3" customHeight="1" x14ac:dyDescent="0.2">
      <c r="A908" s="564"/>
      <c r="B908" s="340"/>
      <c r="C908" s="5"/>
      <c r="D908" s="5"/>
      <c r="E908" s="5"/>
      <c r="F908" s="12"/>
      <c r="G908" s="12"/>
      <c r="H908" s="12"/>
      <c r="I908" s="12"/>
      <c r="J908" s="12"/>
      <c r="K908" s="12"/>
      <c r="L908" s="12"/>
      <c r="M908" s="12"/>
      <c r="N908" s="12"/>
      <c r="O908" s="71"/>
      <c r="P908" s="71"/>
      <c r="Q908" s="71"/>
      <c r="R908" s="71"/>
      <c r="S908" s="71"/>
      <c r="T908" s="71"/>
      <c r="U908" s="71"/>
      <c r="V908" s="71"/>
      <c r="W908" s="71"/>
      <c r="X908" s="71"/>
      <c r="Y908" s="71"/>
      <c r="Z908" s="71"/>
      <c r="AA908" s="71"/>
      <c r="AB908" s="71"/>
      <c r="AC908" s="71"/>
      <c r="AD908" s="71"/>
      <c r="AE908" s="71"/>
      <c r="AF908" s="71"/>
      <c r="AG908" s="71"/>
      <c r="AH908" s="222"/>
      <c r="AI908" s="558"/>
      <c r="AJ908" s="557"/>
      <c r="AK908" s="556"/>
      <c r="AL908" s="556"/>
    </row>
    <row r="909" spans="1:38" ht="13.5" customHeight="1" x14ac:dyDescent="0.2">
      <c r="A909" s="564"/>
      <c r="B909" s="340"/>
      <c r="C909" s="871" t="s">
        <v>710</v>
      </c>
      <c r="D909" s="872"/>
      <c r="E909" s="872"/>
      <c r="F909" s="872"/>
      <c r="G909" s="872"/>
      <c r="H909" s="872"/>
      <c r="I909" s="872"/>
      <c r="J909" s="872"/>
      <c r="K909" s="872"/>
      <c r="L909" s="872"/>
      <c r="M909" s="872"/>
      <c r="N909" s="873"/>
      <c r="O909" s="787"/>
      <c r="P909" s="788"/>
      <c r="Q909" s="788"/>
      <c r="R909" s="788"/>
      <c r="S909" s="788"/>
      <c r="T909" s="788"/>
      <c r="U909" s="788"/>
      <c r="V909" s="788"/>
      <c r="W909" s="788"/>
      <c r="X909" s="788"/>
      <c r="Y909" s="788"/>
      <c r="Z909" s="788"/>
      <c r="AA909" s="788"/>
      <c r="AB909" s="788"/>
      <c r="AC909" s="788"/>
      <c r="AD909" s="788"/>
      <c r="AE909" s="788"/>
      <c r="AF909" s="788"/>
      <c r="AG909" s="789"/>
      <c r="AH909" s="222"/>
      <c r="AI909" s="558"/>
      <c r="AJ909" s="557"/>
      <c r="AK909" s="556"/>
      <c r="AL909" s="556"/>
    </row>
    <row r="910" spans="1:38" ht="13.5" customHeight="1" x14ac:dyDescent="0.2">
      <c r="A910" s="564"/>
      <c r="B910" s="340"/>
      <c r="C910" s="173" t="s">
        <v>579</v>
      </c>
      <c r="D910" s="163"/>
      <c r="E910" s="163"/>
      <c r="F910" s="163"/>
      <c r="G910" s="163"/>
      <c r="H910" s="163"/>
      <c r="I910" s="163"/>
      <c r="J910" s="163"/>
      <c r="K910" s="163"/>
      <c r="L910" s="163"/>
      <c r="M910" s="163"/>
      <c r="N910" s="174" t="s">
        <v>1001</v>
      </c>
      <c r="O910" s="808"/>
      <c r="P910" s="809"/>
      <c r="Q910" s="810"/>
      <c r="R910" s="787"/>
      <c r="S910" s="788"/>
      <c r="T910" s="788"/>
      <c r="U910" s="788"/>
      <c r="V910" s="788"/>
      <c r="W910" s="788"/>
      <c r="X910" s="788"/>
      <c r="Y910" s="788"/>
      <c r="Z910" s="789"/>
      <c r="AA910" s="787"/>
      <c r="AB910" s="788"/>
      <c r="AC910" s="788"/>
      <c r="AD910" s="788"/>
      <c r="AE910" s="788"/>
      <c r="AF910" s="788"/>
      <c r="AG910" s="789"/>
      <c r="AH910" s="222"/>
      <c r="AI910" s="558"/>
      <c r="AJ910" s="557"/>
      <c r="AK910" s="556"/>
      <c r="AL910" s="556"/>
    </row>
    <row r="911" spans="1:38" ht="13.5" customHeight="1" x14ac:dyDescent="0.2">
      <c r="C911" s="162"/>
      <c r="D911" s="163"/>
      <c r="E911" s="163"/>
      <c r="F911" s="163"/>
      <c r="G911" s="163"/>
      <c r="H911" s="163"/>
      <c r="I911" s="163"/>
      <c r="J911" s="163"/>
      <c r="K911" s="163"/>
      <c r="L911" s="163"/>
      <c r="M911" s="163"/>
      <c r="N911" s="174" t="s">
        <v>502</v>
      </c>
      <c r="O911" s="787"/>
      <c r="P911" s="788"/>
      <c r="Q911" s="788"/>
      <c r="R911" s="788"/>
      <c r="S911" s="788"/>
      <c r="T911" s="788"/>
      <c r="U911" s="788"/>
      <c r="V911" s="789"/>
      <c r="W911" s="796"/>
      <c r="X911" s="797"/>
      <c r="Y911" s="797"/>
      <c r="Z911" s="797"/>
      <c r="AA911" s="797"/>
      <c r="AB911" s="797"/>
      <c r="AC911" s="797"/>
      <c r="AD911" s="798"/>
      <c r="AE911" s="805"/>
      <c r="AF911" s="806"/>
      <c r="AG911" s="807"/>
      <c r="AH911" s="222"/>
      <c r="AI911" s="558"/>
      <c r="AJ911" s="557"/>
      <c r="AK911" s="556"/>
      <c r="AL911" s="556"/>
    </row>
    <row r="912" spans="1:38" ht="3" customHeight="1" x14ac:dyDescent="0.2">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504"/>
      <c r="AI912" s="558"/>
      <c r="AJ912" s="557"/>
      <c r="AK912" s="556"/>
      <c r="AL912" s="556"/>
    </row>
    <row r="913" spans="1:89" ht="13.5" customHeight="1" x14ac:dyDescent="0.2">
      <c r="C913" s="871" t="s">
        <v>710</v>
      </c>
      <c r="D913" s="872"/>
      <c r="E913" s="872"/>
      <c r="F913" s="872"/>
      <c r="G913" s="872"/>
      <c r="H913" s="872"/>
      <c r="I913" s="872"/>
      <c r="J913" s="872"/>
      <c r="K913" s="872"/>
      <c r="L913" s="872"/>
      <c r="M913" s="872"/>
      <c r="N913" s="873"/>
      <c r="O913" s="787"/>
      <c r="P913" s="788"/>
      <c r="Q913" s="788"/>
      <c r="R913" s="788"/>
      <c r="S913" s="788"/>
      <c r="T913" s="788"/>
      <c r="U913" s="788"/>
      <c r="V913" s="788"/>
      <c r="W913" s="788"/>
      <c r="X913" s="788"/>
      <c r="Y913" s="788"/>
      <c r="Z913" s="788"/>
      <c r="AA913" s="788"/>
      <c r="AB913" s="788"/>
      <c r="AC913" s="788"/>
      <c r="AD913" s="788"/>
      <c r="AE913" s="788"/>
      <c r="AF913" s="788"/>
      <c r="AG913" s="789"/>
      <c r="AH913" s="222"/>
      <c r="AI913" s="558"/>
      <c r="AJ913" s="557"/>
      <c r="AK913" s="556"/>
      <c r="AL913" s="556"/>
    </row>
    <row r="914" spans="1:89" ht="13.5" customHeight="1" x14ac:dyDescent="0.2">
      <c r="C914" s="173" t="s">
        <v>580</v>
      </c>
      <c r="D914" s="163"/>
      <c r="E914" s="163"/>
      <c r="F914" s="163"/>
      <c r="G914" s="163"/>
      <c r="H914" s="163"/>
      <c r="I914" s="163"/>
      <c r="J914" s="163"/>
      <c r="K914" s="163"/>
      <c r="L914" s="163"/>
      <c r="M914" s="163"/>
      <c r="N914" s="174" t="s">
        <v>1001</v>
      </c>
      <c r="O914" s="808"/>
      <c r="P914" s="809"/>
      <c r="Q914" s="810"/>
      <c r="R914" s="787"/>
      <c r="S914" s="788"/>
      <c r="T914" s="788"/>
      <c r="U914" s="788"/>
      <c r="V914" s="788"/>
      <c r="W914" s="788"/>
      <c r="X914" s="788"/>
      <c r="Y914" s="788"/>
      <c r="Z914" s="789"/>
      <c r="AA914" s="787"/>
      <c r="AB914" s="788"/>
      <c r="AC914" s="788"/>
      <c r="AD914" s="788"/>
      <c r="AE914" s="788"/>
      <c r="AF914" s="788"/>
      <c r="AG914" s="789"/>
      <c r="AH914" s="222"/>
      <c r="AI914" s="558"/>
      <c r="AJ914" s="557"/>
      <c r="AK914" s="556"/>
      <c r="AL914" s="556"/>
    </row>
    <row r="915" spans="1:89" ht="13.5" customHeight="1" x14ac:dyDescent="0.2">
      <c r="C915" s="162"/>
      <c r="D915" s="163"/>
      <c r="E915" s="163"/>
      <c r="F915" s="163"/>
      <c r="G915" s="163"/>
      <c r="H915" s="163"/>
      <c r="I915" s="163"/>
      <c r="J915" s="163"/>
      <c r="K915" s="163"/>
      <c r="L915" s="163"/>
      <c r="M915" s="163"/>
      <c r="N915" s="174" t="s">
        <v>502</v>
      </c>
      <c r="O915" s="787"/>
      <c r="P915" s="788"/>
      <c r="Q915" s="788"/>
      <c r="R915" s="788"/>
      <c r="S915" s="788"/>
      <c r="T915" s="788"/>
      <c r="U915" s="788"/>
      <c r="V915" s="789"/>
      <c r="W915" s="796"/>
      <c r="X915" s="797"/>
      <c r="Y915" s="797"/>
      <c r="Z915" s="797"/>
      <c r="AA915" s="797"/>
      <c r="AB915" s="797"/>
      <c r="AC915" s="797"/>
      <c r="AD915" s="798"/>
      <c r="AE915" s="805"/>
      <c r="AF915" s="806"/>
      <c r="AG915" s="807"/>
      <c r="AH915" s="222"/>
      <c r="AI915" s="558"/>
      <c r="AJ915" s="557"/>
      <c r="AK915" s="556"/>
      <c r="AL915" s="556"/>
    </row>
    <row r="916" spans="1:89" ht="19.5" customHeight="1" x14ac:dyDescent="0.2">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H916" s="438" t="s">
        <v>314</v>
      </c>
      <c r="AI916" s="558"/>
      <c r="AJ916" s="557"/>
      <c r="AK916" s="556"/>
      <c r="AL916" s="556"/>
    </row>
    <row r="917" spans="1:89" ht="10.5" customHeight="1" x14ac:dyDescent="0.2">
      <c r="B917" s="332"/>
      <c r="C917" s="509"/>
      <c r="D917" s="509"/>
      <c r="E917" s="509"/>
      <c r="F917" s="509"/>
      <c r="G917" s="509"/>
      <c r="H917" s="509"/>
      <c r="I917" s="509"/>
      <c r="J917" s="509"/>
      <c r="K917" s="509"/>
      <c r="L917" s="509"/>
      <c r="M917" s="509"/>
      <c r="N917" s="509"/>
      <c r="O917" s="509"/>
      <c r="P917" s="509"/>
      <c r="Q917" s="509"/>
      <c r="R917" s="509"/>
      <c r="S917" s="509"/>
      <c r="T917" s="509"/>
      <c r="U917" s="509"/>
      <c r="V917" s="509"/>
      <c r="W917" s="509"/>
      <c r="X917" s="509"/>
      <c r="Y917" s="509"/>
      <c r="Z917" s="509"/>
      <c r="AA917" s="509"/>
      <c r="AB917" s="509"/>
      <c r="AC917" s="509"/>
      <c r="AD917" s="509"/>
      <c r="AE917" s="509"/>
      <c r="AF917" s="509"/>
      <c r="AG917" s="509"/>
      <c r="AH917" s="223"/>
    </row>
    <row r="918" spans="1:89" ht="9.75" customHeight="1" x14ac:dyDescent="0.2">
      <c r="B918" s="332"/>
      <c r="C918" s="509"/>
      <c r="D918" s="509"/>
      <c r="E918" s="509"/>
      <c r="F918" s="509"/>
      <c r="G918" s="509"/>
      <c r="H918" s="509"/>
      <c r="I918" s="509"/>
      <c r="J918" s="509"/>
      <c r="K918" s="509"/>
      <c r="L918" s="509"/>
      <c r="M918" s="509"/>
      <c r="N918" s="509"/>
      <c r="O918" s="509"/>
      <c r="P918" s="509"/>
      <c r="Q918" s="509"/>
      <c r="R918" s="509"/>
      <c r="S918" s="509"/>
      <c r="T918" s="509"/>
      <c r="U918" s="509"/>
      <c r="V918" s="509"/>
      <c r="W918" s="509"/>
      <c r="X918" s="509"/>
      <c r="Y918" s="509"/>
      <c r="Z918" s="509"/>
      <c r="AA918" s="509"/>
      <c r="AB918" s="509"/>
      <c r="AC918" s="509"/>
      <c r="AD918" s="509"/>
      <c r="AE918" s="509"/>
      <c r="AF918" s="509"/>
      <c r="AG918" s="509"/>
      <c r="AH918" s="222"/>
    </row>
    <row r="919" spans="1:89" ht="8.25" customHeight="1" x14ac:dyDescent="0.2">
      <c r="B919" s="332"/>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c r="AA919" s="266"/>
      <c r="AB919" s="266"/>
      <c r="AC919" s="266"/>
      <c r="AD919" s="266"/>
      <c r="AE919" s="266"/>
      <c r="AF919" s="266"/>
      <c r="AG919" s="266"/>
      <c r="AH919" s="245"/>
    </row>
    <row r="920" spans="1:89" s="9" customFormat="1" ht="40.5" customHeight="1" x14ac:dyDescent="0.2">
      <c r="A920" s="576"/>
      <c r="B920" s="363"/>
      <c r="AH920" s="244"/>
      <c r="AI920" s="346"/>
      <c r="AJ920" s="622" t="s">
        <v>353</v>
      </c>
      <c r="AK920" s="531" t="s">
        <v>697</v>
      </c>
      <c r="AL920" s="531" t="s">
        <v>316</v>
      </c>
      <c r="AM920" s="531" t="s">
        <v>693</v>
      </c>
      <c r="AN920" s="532" t="s">
        <v>417</v>
      </c>
      <c r="AO920" s="532" t="s">
        <v>641</v>
      </c>
      <c r="AP920" s="532" t="s">
        <v>642</v>
      </c>
      <c r="AQ920" s="532" t="s">
        <v>643</v>
      </c>
      <c r="AR920" s="532" t="s">
        <v>340</v>
      </c>
      <c r="AS920" s="532" t="s">
        <v>418</v>
      </c>
      <c r="AT920" s="532" t="s">
        <v>641</v>
      </c>
      <c r="AU920" s="532" t="s">
        <v>645</v>
      </c>
      <c r="AV920" s="532" t="s">
        <v>646</v>
      </c>
      <c r="AW920" s="532" t="s">
        <v>341</v>
      </c>
      <c r="AX920" s="532" t="s">
        <v>648</v>
      </c>
      <c r="AY920" s="532" t="s">
        <v>641</v>
      </c>
      <c r="AZ920" s="532" t="s">
        <v>647</v>
      </c>
      <c r="BA920" s="531" t="s">
        <v>526</v>
      </c>
      <c r="BB920" s="531" t="s">
        <v>402</v>
      </c>
      <c r="BC920" s="531" t="s">
        <v>406</v>
      </c>
      <c r="BD920" s="531" t="s">
        <v>1057</v>
      </c>
      <c r="BE920" s="531" t="s">
        <v>762</v>
      </c>
      <c r="BF920" s="531" t="s">
        <v>449</v>
      </c>
      <c r="BG920" s="531" t="s">
        <v>354</v>
      </c>
      <c r="BH920" s="533" t="s">
        <v>613</v>
      </c>
      <c r="BI920" s="531" t="s">
        <v>354</v>
      </c>
      <c r="BJ920" s="543" t="s">
        <v>234</v>
      </c>
      <c r="BK920" s="542"/>
      <c r="BL920" s="542"/>
      <c r="BM920" s="505"/>
      <c r="BN920" s="382"/>
      <c r="BO920" s="382"/>
      <c r="BP920" s="382"/>
    </row>
    <row r="921" spans="1:89" ht="25.5" customHeight="1" x14ac:dyDescent="0.3">
      <c r="I921" s="12"/>
      <c r="AH921" s="245"/>
      <c r="AJ921" s="623"/>
      <c r="AK921" s="534"/>
      <c r="AL921" s="514" t="s">
        <v>45</v>
      </c>
      <c r="AM921" s="535"/>
      <c r="AN921" s="512"/>
      <c r="AO921" s="512"/>
      <c r="AP921" s="512"/>
      <c r="AQ921" s="512"/>
      <c r="AR921" s="512"/>
      <c r="AS921" s="512"/>
      <c r="AT921" s="512"/>
      <c r="AU921" s="512"/>
      <c r="AV921" s="512"/>
      <c r="AW921" s="513"/>
      <c r="AX921" s="513" t="s">
        <v>47</v>
      </c>
      <c r="AY921" s="536" t="s">
        <v>328</v>
      </c>
      <c r="AZ921" s="537">
        <v>8700</v>
      </c>
      <c r="BA921" s="514"/>
      <c r="BB921" s="514"/>
      <c r="BC921" s="515"/>
      <c r="BD921" s="514"/>
      <c r="BE921" s="514"/>
      <c r="BF921" s="514"/>
      <c r="BG921" s="514"/>
      <c r="BH921" s="516"/>
      <c r="BI921" s="538"/>
      <c r="BJ921" s="517"/>
      <c r="BK921" s="518"/>
      <c r="BL921" s="518"/>
      <c r="BM921" s="401"/>
      <c r="BN921" s="401"/>
      <c r="BO921" s="401"/>
      <c r="BP921" s="401"/>
      <c r="BQ921" s="95"/>
      <c r="BR921" s="95"/>
      <c r="BS921" s="95"/>
      <c r="BT921" s="95"/>
      <c r="BU921" s="95"/>
      <c r="BV921" s="95"/>
      <c r="BW921" s="95"/>
      <c r="BX921" s="95"/>
      <c r="BY921" s="95"/>
      <c r="BZ921" s="95"/>
      <c r="CA921" s="95"/>
      <c r="CB921" s="95"/>
      <c r="CC921" s="95"/>
      <c r="CD921" s="95"/>
      <c r="CE921" s="95"/>
      <c r="CF921" s="95"/>
      <c r="CG921" s="95"/>
      <c r="CH921" s="95"/>
      <c r="CI921" s="95"/>
      <c r="CJ921" s="95"/>
    </row>
    <row r="922" spans="1:89" ht="25.5" customHeight="1" x14ac:dyDescent="0.3">
      <c r="I922" s="12"/>
      <c r="AH922" s="245"/>
      <c r="AJ922" s="623" t="s">
        <v>714</v>
      </c>
      <c r="AK922" s="539" t="s">
        <v>701</v>
      </c>
      <c r="AL922" s="514" t="s">
        <v>51</v>
      </c>
      <c r="AM922" s="535" t="s">
        <v>711</v>
      </c>
      <c r="AN922" s="512" t="s">
        <v>413</v>
      </c>
      <c r="AO922" s="512" t="s">
        <v>428</v>
      </c>
      <c r="AP922" s="512">
        <v>200</v>
      </c>
      <c r="AQ922" s="512">
        <v>100</v>
      </c>
      <c r="AR922" s="512">
        <v>75</v>
      </c>
      <c r="AS922" s="512" t="s">
        <v>419</v>
      </c>
      <c r="AT922" s="512" t="s">
        <v>329</v>
      </c>
      <c r="AU922" s="512">
        <v>800</v>
      </c>
      <c r="AV922" s="512">
        <v>700</v>
      </c>
      <c r="AW922" s="519">
        <v>550</v>
      </c>
      <c r="AX922" s="513" t="s">
        <v>48</v>
      </c>
      <c r="AY922" s="536" t="s">
        <v>329</v>
      </c>
      <c r="AZ922" s="537">
        <v>50</v>
      </c>
      <c r="BA922" s="514" t="s">
        <v>528</v>
      </c>
      <c r="BB922" s="514" t="s">
        <v>403</v>
      </c>
      <c r="BC922" s="520" t="s">
        <v>593</v>
      </c>
      <c r="BD922" s="521" t="s">
        <v>1058</v>
      </c>
      <c r="BE922" s="521" t="str">
        <f>"+40 to +45"</f>
        <v>+40 to +45</v>
      </c>
      <c r="BF922" s="521" t="s">
        <v>451</v>
      </c>
      <c r="BG922" s="522" t="s">
        <v>358</v>
      </c>
      <c r="BH922" s="516" t="s">
        <v>614</v>
      </c>
      <c r="BI922" s="517" t="s">
        <v>589</v>
      </c>
      <c r="BJ922" s="544" t="s">
        <v>139</v>
      </c>
      <c r="BK922" s="518"/>
      <c r="BL922" s="518"/>
      <c r="BM922" s="401"/>
      <c r="BN922" s="401"/>
      <c r="BO922" s="401"/>
      <c r="BP922" s="401"/>
      <c r="BQ922" s="95"/>
      <c r="BR922" s="95"/>
      <c r="BS922" s="95"/>
      <c r="BT922" s="95"/>
      <c r="BU922" s="95"/>
      <c r="BV922" s="95"/>
      <c r="BW922" s="95"/>
      <c r="BX922" s="95"/>
      <c r="BY922" s="95"/>
      <c r="BZ922" s="95"/>
      <c r="CA922" s="95"/>
      <c r="CB922" s="95"/>
      <c r="CC922" s="95"/>
      <c r="CD922" s="95"/>
      <c r="CE922" s="95"/>
      <c r="CF922" s="95"/>
      <c r="CG922" s="95"/>
      <c r="CH922" s="95"/>
      <c r="CI922" s="95"/>
      <c r="CJ922" s="95"/>
      <c r="CK922" s="95"/>
    </row>
    <row r="923" spans="1:89" ht="25.5" customHeight="1" x14ac:dyDescent="0.3">
      <c r="C923" s="834"/>
      <c r="D923" s="834"/>
      <c r="E923" s="834"/>
      <c r="F923" s="834"/>
      <c r="G923" s="834"/>
      <c r="H923" s="834"/>
      <c r="I923" s="834"/>
      <c r="J923" s="834"/>
      <c r="K923" s="834"/>
      <c r="L923" s="834"/>
      <c r="M923" s="834"/>
      <c r="N923" s="834"/>
      <c r="O923" s="834"/>
      <c r="P923" s="834"/>
      <c r="Q923" s="834"/>
      <c r="R923" s="834"/>
      <c r="S923" s="834"/>
      <c r="T923" s="834"/>
      <c r="U923" s="834"/>
      <c r="V923" s="834"/>
      <c r="W923" s="834"/>
      <c r="X923" s="834"/>
      <c r="Y923" s="834"/>
      <c r="Z923" s="834"/>
      <c r="AA923" s="834"/>
      <c r="AB923" s="834"/>
      <c r="AC923" s="834"/>
      <c r="AD923" s="834"/>
      <c r="AE923" s="834"/>
      <c r="AF923" s="834"/>
      <c r="AG923" s="834"/>
      <c r="AH923" s="834"/>
      <c r="AJ923" s="623"/>
      <c r="AK923" s="539" t="s">
        <v>704</v>
      </c>
      <c r="AL923" s="514"/>
      <c r="AM923" s="535" t="s">
        <v>696</v>
      </c>
      <c r="AN923" s="512" t="s">
        <v>385</v>
      </c>
      <c r="AO923" s="512" t="s">
        <v>428</v>
      </c>
      <c r="AP923" s="512">
        <v>400</v>
      </c>
      <c r="AQ923" s="523" t="s">
        <v>644</v>
      </c>
      <c r="AR923" s="523" t="s">
        <v>644</v>
      </c>
      <c r="AS923" s="524" t="s">
        <v>634</v>
      </c>
      <c r="AT923" s="512" t="s">
        <v>428</v>
      </c>
      <c r="AU923" s="512">
        <v>200</v>
      </c>
      <c r="AV923" s="512">
        <v>60</v>
      </c>
      <c r="AW923" s="519">
        <v>40</v>
      </c>
      <c r="AX923" s="513" t="s">
        <v>49</v>
      </c>
      <c r="AY923" s="536" t="s">
        <v>329</v>
      </c>
      <c r="AZ923" s="537">
        <v>70</v>
      </c>
      <c r="BA923" s="514" t="s">
        <v>527</v>
      </c>
      <c r="BB923" s="514" t="s">
        <v>404</v>
      </c>
      <c r="BC923" s="520" t="s">
        <v>594</v>
      </c>
      <c r="BD923" s="521" t="s">
        <v>1059</v>
      </c>
      <c r="BE923" s="521" t="str">
        <f>"+11 to +20"</f>
        <v>+11 to +20</v>
      </c>
      <c r="BF923" s="521" t="s">
        <v>522</v>
      </c>
      <c r="BG923" s="522" t="s">
        <v>355</v>
      </c>
      <c r="BH923" s="516" t="s">
        <v>615</v>
      </c>
      <c r="BI923" s="517" t="s">
        <v>900</v>
      </c>
      <c r="BJ923" s="544" t="s">
        <v>138</v>
      </c>
      <c r="BK923" s="518"/>
      <c r="BL923" s="518"/>
      <c r="BM923" s="401"/>
      <c r="BN923" s="401"/>
      <c r="BO923" s="401"/>
      <c r="BP923" s="401"/>
      <c r="BQ923" s="95"/>
      <c r="BR923" s="95"/>
      <c r="BS923" s="95"/>
      <c r="BT923" s="95"/>
      <c r="BU923" s="95"/>
      <c r="BV923" s="95"/>
      <c r="BW923" s="95"/>
      <c r="BX923" s="95"/>
      <c r="BY923" s="95"/>
      <c r="BZ923" s="95"/>
      <c r="CA923" s="95"/>
      <c r="CB923" s="95"/>
      <c r="CC923" s="95"/>
      <c r="CD923" s="95"/>
      <c r="CE923" s="95"/>
      <c r="CF923" s="95"/>
      <c r="CG923" s="95"/>
      <c r="CH923" s="95"/>
      <c r="CI923" s="95"/>
      <c r="CJ923" s="95"/>
      <c r="CK923" s="95"/>
    </row>
    <row r="924" spans="1:89" ht="25.5" customHeight="1" x14ac:dyDescent="0.2">
      <c r="C924" s="834"/>
      <c r="D924" s="834"/>
      <c r="E924" s="834"/>
      <c r="F924" s="834"/>
      <c r="G924" s="834"/>
      <c r="H924" s="834"/>
      <c r="I924" s="834"/>
      <c r="J924" s="834"/>
      <c r="K924" s="834"/>
      <c r="L924" s="834"/>
      <c r="M924" s="834"/>
      <c r="N924" s="834"/>
      <c r="O924" s="834"/>
      <c r="P924" s="834"/>
      <c r="Q924" s="834"/>
      <c r="R924" s="834"/>
      <c r="S924" s="834"/>
      <c r="T924" s="834"/>
      <c r="U924" s="834"/>
      <c r="V924" s="834"/>
      <c r="W924" s="834"/>
      <c r="X924" s="834"/>
      <c r="Y924" s="834"/>
      <c r="Z924" s="834"/>
      <c r="AA924" s="834"/>
      <c r="AB924" s="834"/>
      <c r="AC924" s="834"/>
      <c r="AD924" s="834"/>
      <c r="AE924" s="834"/>
      <c r="AF924" s="834"/>
      <c r="AG924" s="834"/>
      <c r="AH924" s="834"/>
      <c r="AK924" s="514"/>
      <c r="AL924" s="514" t="s">
        <v>558</v>
      </c>
      <c r="AM924" s="535" t="s">
        <v>698</v>
      </c>
      <c r="AN924" s="512" t="s">
        <v>410</v>
      </c>
      <c r="AO924" s="524" t="s">
        <v>329</v>
      </c>
      <c r="AP924" s="524">
        <v>10</v>
      </c>
      <c r="AQ924" s="524">
        <v>5</v>
      </c>
      <c r="AR924" s="524">
        <v>3</v>
      </c>
      <c r="AS924" s="524" t="s">
        <v>635</v>
      </c>
      <c r="AT924" s="512" t="s">
        <v>329</v>
      </c>
      <c r="AU924" s="512">
        <v>3</v>
      </c>
      <c r="AV924" s="512">
        <v>0.8</v>
      </c>
      <c r="AW924" s="525">
        <v>0.65</v>
      </c>
      <c r="AX924" s="526" t="s">
        <v>331</v>
      </c>
      <c r="AY924" s="540" t="s">
        <v>329</v>
      </c>
      <c r="AZ924" s="537">
        <v>24</v>
      </c>
      <c r="BA924" s="514"/>
      <c r="BB924" s="514" t="s">
        <v>405</v>
      </c>
      <c r="BC924" s="520" t="s">
        <v>595</v>
      </c>
      <c r="BD924" s="521" t="s">
        <v>378</v>
      </c>
      <c r="BE924" s="521" t="str">
        <f>"+5 to +10"</f>
        <v>+5 to +10</v>
      </c>
      <c r="BF924" s="521" t="s">
        <v>450</v>
      </c>
      <c r="BG924" s="521" t="s">
        <v>356</v>
      </c>
      <c r="BH924" s="516" t="s">
        <v>450</v>
      </c>
      <c r="BI924" s="522" t="s">
        <v>901</v>
      </c>
      <c r="BJ924" s="544" t="s">
        <v>137</v>
      </c>
      <c r="BK924" s="518"/>
      <c r="BL924" s="518"/>
      <c r="BM924" s="401"/>
      <c r="BN924" s="401"/>
      <c r="BO924" s="401"/>
      <c r="BP924" s="401"/>
      <c r="BQ924" s="95"/>
      <c r="BR924" s="95"/>
      <c r="BS924" s="95"/>
      <c r="BT924" s="95"/>
      <c r="BU924" s="95"/>
      <c r="BV924" s="95"/>
      <c r="BW924" s="95"/>
      <c r="BX924" s="95"/>
      <c r="BY924" s="95"/>
      <c r="BZ924" s="95"/>
      <c r="CA924" s="95"/>
      <c r="CB924" s="95"/>
      <c r="CC924" s="95"/>
      <c r="CD924" s="95"/>
      <c r="CE924" s="95"/>
      <c r="CF924" s="95"/>
      <c r="CG924" s="95"/>
      <c r="CH924" s="95"/>
      <c r="CI924" s="95"/>
      <c r="CJ924" s="95"/>
      <c r="CK924" s="95"/>
    </row>
    <row r="925" spans="1:89" ht="25.5" customHeight="1" x14ac:dyDescent="0.2">
      <c r="C925" s="834"/>
      <c r="D925" s="834"/>
      <c r="E925" s="834"/>
      <c r="F925" s="834"/>
      <c r="G925" s="834"/>
      <c r="H925" s="834"/>
      <c r="I925" s="834"/>
      <c r="J925" s="834"/>
      <c r="K925" s="834"/>
      <c r="L925" s="834"/>
      <c r="M925" s="834"/>
      <c r="N925" s="834"/>
      <c r="O925" s="834"/>
      <c r="P925" s="834"/>
      <c r="Q925" s="834"/>
      <c r="R925" s="834"/>
      <c r="S925" s="834"/>
      <c r="T925" s="834"/>
      <c r="U925" s="834"/>
      <c r="V925" s="834"/>
      <c r="W925" s="834"/>
      <c r="X925" s="834"/>
      <c r="Y925" s="834"/>
      <c r="Z925" s="834"/>
      <c r="AA925" s="834"/>
      <c r="AB925" s="834"/>
      <c r="AC925" s="834"/>
      <c r="AD925" s="834"/>
      <c r="AE925" s="834"/>
      <c r="AF925" s="834"/>
      <c r="AG925" s="834"/>
      <c r="AH925" s="834"/>
      <c r="AK925" s="514"/>
      <c r="AL925" s="514" t="s">
        <v>467</v>
      </c>
      <c r="AM925" s="535" t="s">
        <v>702</v>
      </c>
      <c r="AN925" s="512" t="s">
        <v>426</v>
      </c>
      <c r="AO925" s="512" t="s">
        <v>329</v>
      </c>
      <c r="AP925" s="512">
        <v>5</v>
      </c>
      <c r="AQ925" s="512">
        <v>2</v>
      </c>
      <c r="AR925" s="524">
        <v>1.8</v>
      </c>
      <c r="AS925" s="524" t="s">
        <v>425</v>
      </c>
      <c r="AT925" s="512" t="s">
        <v>428</v>
      </c>
      <c r="AU925" s="512">
        <v>150</v>
      </c>
      <c r="AV925" s="512">
        <v>70</v>
      </c>
      <c r="AW925" s="525">
        <v>60</v>
      </c>
      <c r="AX925" s="526" t="s">
        <v>332</v>
      </c>
      <c r="AY925" s="526" t="s">
        <v>329</v>
      </c>
      <c r="AZ925" s="541"/>
      <c r="BA925" s="514"/>
      <c r="BB925" s="514" t="s">
        <v>447</v>
      </c>
      <c r="BC925" s="520" t="s">
        <v>596</v>
      </c>
      <c r="BD925" s="521" t="s">
        <v>379</v>
      </c>
      <c r="BE925" s="521" t="str">
        <f>" 0 to +4 "</f>
        <v xml:space="preserve"> 0 to +4 </v>
      </c>
      <c r="BF925" s="521" t="s">
        <v>468</v>
      </c>
      <c r="BG925" s="521" t="s">
        <v>357</v>
      </c>
      <c r="BH925" s="516" t="s">
        <v>31</v>
      </c>
      <c r="BI925" s="522" t="s">
        <v>902</v>
      </c>
      <c r="BJ925" s="544" t="s">
        <v>136</v>
      </c>
      <c r="BK925" s="510"/>
      <c r="BL925" s="510"/>
      <c r="BM925" s="384"/>
    </row>
    <row r="926" spans="1:89" ht="25.5" customHeight="1" x14ac:dyDescent="0.2">
      <c r="C926" s="834"/>
      <c r="D926" s="834"/>
      <c r="E926" s="834"/>
      <c r="F926" s="834"/>
      <c r="G926" s="834"/>
      <c r="H926" s="834"/>
      <c r="I926" s="834"/>
      <c r="J926" s="834"/>
      <c r="K926" s="834"/>
      <c r="L926" s="834"/>
      <c r="M926" s="834"/>
      <c r="N926" s="834"/>
      <c r="O926" s="834"/>
      <c r="P926" s="834"/>
      <c r="Q926" s="834"/>
      <c r="R926" s="834"/>
      <c r="S926" s="834"/>
      <c r="T926" s="834"/>
      <c r="U926" s="834"/>
      <c r="V926" s="834"/>
      <c r="W926" s="834"/>
      <c r="X926" s="834"/>
      <c r="Y926" s="834"/>
      <c r="Z926" s="834"/>
      <c r="AA926" s="834"/>
      <c r="AB926" s="834"/>
      <c r="AC926" s="834"/>
      <c r="AD926" s="834"/>
      <c r="AE926" s="834"/>
      <c r="AF926" s="834"/>
      <c r="AG926" s="834"/>
      <c r="AH926" s="834"/>
      <c r="AK926" s="514"/>
      <c r="AL926" s="514" t="s">
        <v>559</v>
      </c>
      <c r="AM926" s="535" t="s">
        <v>705</v>
      </c>
      <c r="AN926" s="512" t="s">
        <v>409</v>
      </c>
      <c r="AO926" s="512" t="s">
        <v>329</v>
      </c>
      <c r="AP926" s="512">
        <v>1.7</v>
      </c>
      <c r="AQ926" s="512">
        <v>0.8</v>
      </c>
      <c r="AR926" s="512">
        <v>0.6</v>
      </c>
      <c r="AS926" s="512" t="s">
        <v>414</v>
      </c>
      <c r="AT926" s="512" t="s">
        <v>329</v>
      </c>
      <c r="AU926" s="512">
        <v>12</v>
      </c>
      <c r="AV926" s="512">
        <v>6</v>
      </c>
      <c r="AW926" s="525">
        <v>9</v>
      </c>
      <c r="AX926" s="526" t="s">
        <v>333</v>
      </c>
      <c r="AY926" s="526" t="s">
        <v>329</v>
      </c>
      <c r="AZ926" s="541"/>
      <c r="BA926" s="514"/>
      <c r="BB926" s="514"/>
      <c r="BC926" s="520" t="s">
        <v>898</v>
      </c>
      <c r="BD926" s="521" t="s">
        <v>1060</v>
      </c>
      <c r="BE926" s="521" t="str">
        <f xml:space="preserve"> "below -10 "</f>
        <v xml:space="preserve">below -10 </v>
      </c>
      <c r="BF926" s="521"/>
      <c r="BG926" s="521"/>
      <c r="BH926" s="516" t="s">
        <v>30</v>
      </c>
      <c r="BI926" s="514"/>
      <c r="BJ926" s="544" t="s">
        <v>140</v>
      </c>
      <c r="BK926" s="510"/>
      <c r="BL926" s="510"/>
      <c r="BM926" s="384"/>
    </row>
    <row r="927" spans="1:89" ht="25.5" customHeight="1" x14ac:dyDescent="0.2">
      <c r="A927" s="564"/>
      <c r="B927" s="340"/>
      <c r="C927" s="834"/>
      <c r="D927" s="834"/>
      <c r="E927" s="834"/>
      <c r="F927" s="834"/>
      <c r="G927" s="834"/>
      <c r="H927" s="834"/>
      <c r="I927" s="834"/>
      <c r="J927" s="834"/>
      <c r="K927" s="834"/>
      <c r="L927" s="834"/>
      <c r="M927" s="834"/>
      <c r="N927" s="834"/>
      <c r="O927" s="834"/>
      <c r="P927" s="834"/>
      <c r="Q927" s="834"/>
      <c r="R927" s="834"/>
      <c r="S927" s="834"/>
      <c r="T927" s="834"/>
      <c r="U927" s="834"/>
      <c r="V927" s="834"/>
      <c r="W927" s="834"/>
      <c r="X927" s="834"/>
      <c r="Y927" s="834"/>
      <c r="Z927" s="834"/>
      <c r="AA927" s="834"/>
      <c r="AB927" s="834"/>
      <c r="AC927" s="834"/>
      <c r="AD927" s="834"/>
      <c r="AE927" s="834"/>
      <c r="AF927" s="834"/>
      <c r="AG927" s="834"/>
      <c r="AH927" s="834"/>
      <c r="AK927" s="514"/>
      <c r="AL927" s="514" t="s">
        <v>560</v>
      </c>
      <c r="AM927" s="535" t="s">
        <v>706</v>
      </c>
      <c r="AN927" s="512" t="s">
        <v>408</v>
      </c>
      <c r="AO927" s="512" t="s">
        <v>329</v>
      </c>
      <c r="AP927" s="512">
        <v>1.1000000000000001</v>
      </c>
      <c r="AQ927" s="512">
        <v>0.5</v>
      </c>
      <c r="AR927" s="512">
        <v>0.35</v>
      </c>
      <c r="AS927" s="512" t="s">
        <v>415</v>
      </c>
      <c r="AT927" s="512" t="s">
        <v>329</v>
      </c>
      <c r="AU927" s="512">
        <v>320</v>
      </c>
      <c r="AV927" s="512">
        <v>80</v>
      </c>
      <c r="AW927" s="525">
        <v>60</v>
      </c>
      <c r="AX927" s="526" t="s">
        <v>334</v>
      </c>
      <c r="AY927" s="526" t="s">
        <v>329</v>
      </c>
      <c r="AZ927" s="541"/>
      <c r="BA927" s="514"/>
      <c r="BB927" s="514"/>
      <c r="BC927" s="520" t="s">
        <v>899</v>
      </c>
      <c r="BD927" s="521" t="s">
        <v>370</v>
      </c>
      <c r="BE927" s="521"/>
      <c r="BF927" s="521"/>
      <c r="BG927" s="521"/>
      <c r="BH927" s="516" t="s">
        <v>617</v>
      </c>
      <c r="BI927" s="514"/>
      <c r="BJ927" s="544" t="s">
        <v>141</v>
      </c>
      <c r="BK927" s="510"/>
      <c r="BL927" s="510"/>
      <c r="BM927" s="384"/>
    </row>
    <row r="928" spans="1:89" ht="25.5" customHeight="1" x14ac:dyDescent="0.2">
      <c r="A928" s="564"/>
      <c r="B928" s="340"/>
      <c r="C928" s="834"/>
      <c r="D928" s="834"/>
      <c r="E928" s="834"/>
      <c r="F928" s="834"/>
      <c r="G928" s="834"/>
      <c r="H928" s="834"/>
      <c r="I928" s="834"/>
      <c r="J928" s="834"/>
      <c r="K928" s="834"/>
      <c r="L928" s="834"/>
      <c r="M928" s="834"/>
      <c r="N928" s="834"/>
      <c r="O928" s="834"/>
      <c r="P928" s="834"/>
      <c r="Q928" s="834"/>
      <c r="R928" s="834"/>
      <c r="S928" s="834"/>
      <c r="T928" s="834"/>
      <c r="U928" s="834"/>
      <c r="V928" s="834"/>
      <c r="W928" s="834"/>
      <c r="X928" s="834"/>
      <c r="Y928" s="834"/>
      <c r="Z928" s="834"/>
      <c r="AA928" s="834"/>
      <c r="AB928" s="834"/>
      <c r="AC928" s="834"/>
      <c r="AD928" s="834"/>
      <c r="AE928" s="834"/>
      <c r="AF928" s="834"/>
      <c r="AG928" s="834"/>
      <c r="AH928" s="834"/>
      <c r="AK928" s="514"/>
      <c r="AL928" s="514"/>
      <c r="AM928" s="535" t="s">
        <v>707</v>
      </c>
      <c r="AN928" s="512" t="s">
        <v>421</v>
      </c>
      <c r="AO928" s="524" t="s">
        <v>428</v>
      </c>
      <c r="AP928" s="524">
        <v>750</v>
      </c>
      <c r="AQ928" s="524">
        <v>300</v>
      </c>
      <c r="AR928" s="524">
        <v>300</v>
      </c>
      <c r="AS928" s="524" t="s">
        <v>636</v>
      </c>
      <c r="AT928" s="512" t="s">
        <v>329</v>
      </c>
      <c r="AU928" s="512">
        <v>5</v>
      </c>
      <c r="AV928" s="512">
        <v>1.5</v>
      </c>
      <c r="AW928" s="519">
        <v>0.8</v>
      </c>
      <c r="AX928" s="513" t="s">
        <v>50</v>
      </c>
      <c r="AY928" s="513" t="s">
        <v>329</v>
      </c>
      <c r="AZ928" s="541"/>
      <c r="BA928" s="514"/>
      <c r="BB928" s="514"/>
      <c r="BC928" s="520"/>
      <c r="BD928" s="514"/>
      <c r="BE928" s="514"/>
      <c r="BF928" s="514"/>
      <c r="BG928" s="514"/>
      <c r="BH928" s="516" t="s">
        <v>616</v>
      </c>
      <c r="BI928" s="514"/>
      <c r="BJ928" s="544" t="s">
        <v>142</v>
      </c>
      <c r="BK928" s="510"/>
      <c r="BL928" s="510"/>
      <c r="BM928" s="384"/>
    </row>
    <row r="929" spans="1:65" ht="25.5" customHeight="1" x14ac:dyDescent="0.2">
      <c r="A929" s="564"/>
      <c r="B929" s="340"/>
      <c r="C929" s="834"/>
      <c r="D929" s="834"/>
      <c r="E929" s="834"/>
      <c r="F929" s="834"/>
      <c r="G929" s="834"/>
      <c r="H929" s="834"/>
      <c r="I929" s="834"/>
      <c r="J929" s="834"/>
      <c r="K929" s="834"/>
      <c r="L929" s="834"/>
      <c r="M929" s="834"/>
      <c r="N929" s="834"/>
      <c r="O929" s="834"/>
      <c r="P929" s="834"/>
      <c r="Q929" s="834"/>
      <c r="R929" s="834"/>
      <c r="S929" s="834"/>
      <c r="T929" s="834"/>
      <c r="U929" s="834"/>
      <c r="V929" s="834"/>
      <c r="W929" s="834"/>
      <c r="X929" s="834"/>
      <c r="Y929" s="834"/>
      <c r="Z929" s="834"/>
      <c r="AA929" s="834"/>
      <c r="AB929" s="834"/>
      <c r="AC929" s="834"/>
      <c r="AD929" s="834"/>
      <c r="AE929" s="834"/>
      <c r="AF929" s="834"/>
      <c r="AG929" s="834"/>
      <c r="AH929" s="834"/>
      <c r="AK929" s="514"/>
      <c r="AL929" s="514"/>
      <c r="AM929" s="535" t="s">
        <v>709</v>
      </c>
      <c r="AN929" s="512" t="s">
        <v>424</v>
      </c>
      <c r="AO929" s="512" t="s">
        <v>428</v>
      </c>
      <c r="AP929" s="512">
        <v>2</v>
      </c>
      <c r="AQ929" s="512">
        <v>1</v>
      </c>
      <c r="AR929" s="524">
        <v>0.7</v>
      </c>
      <c r="AS929" s="524" t="s">
        <v>637</v>
      </c>
      <c r="AT929" s="512" t="s">
        <v>428</v>
      </c>
      <c r="AU929" s="512">
        <v>250</v>
      </c>
      <c r="AV929" s="512">
        <v>50</v>
      </c>
      <c r="AW929" s="519">
        <v>30</v>
      </c>
      <c r="AX929" s="513" t="s">
        <v>52</v>
      </c>
      <c r="AY929" s="536" t="s">
        <v>329</v>
      </c>
      <c r="AZ929" s="537">
        <v>310</v>
      </c>
      <c r="BA929" s="514"/>
      <c r="BB929" s="514"/>
      <c r="BC929" s="514"/>
      <c r="BD929" s="514"/>
      <c r="BE929" s="514"/>
      <c r="BF929" s="514"/>
      <c r="BG929" s="514"/>
      <c r="BH929" s="516" t="s">
        <v>618</v>
      </c>
      <c r="BI929" s="514"/>
      <c r="BJ929" s="544" t="s">
        <v>143</v>
      </c>
      <c r="BK929" s="510"/>
      <c r="BL929" s="510"/>
      <c r="BM929" s="384"/>
    </row>
    <row r="930" spans="1:65" ht="14.25" x14ac:dyDescent="0.2">
      <c r="A930" s="564"/>
      <c r="B930" s="340"/>
      <c r="C930" s="834"/>
      <c r="D930" s="834"/>
      <c r="E930" s="834"/>
      <c r="F930" s="834"/>
      <c r="G930" s="834"/>
      <c r="H930" s="834"/>
      <c r="I930" s="834"/>
      <c r="J930" s="834"/>
      <c r="K930" s="834"/>
      <c r="L930" s="834"/>
      <c r="M930" s="834"/>
      <c r="N930" s="834"/>
      <c r="O930" s="834"/>
      <c r="P930" s="834"/>
      <c r="Q930" s="834"/>
      <c r="R930" s="834"/>
      <c r="S930" s="834"/>
      <c r="T930" s="834"/>
      <c r="U930" s="834"/>
      <c r="V930" s="834"/>
      <c r="W930" s="834"/>
      <c r="X930" s="834"/>
      <c r="Y930" s="834"/>
      <c r="Z930" s="834"/>
      <c r="AA930" s="834"/>
      <c r="AB930" s="834"/>
      <c r="AC930" s="834"/>
      <c r="AD930" s="834"/>
      <c r="AE930" s="834"/>
      <c r="AF930" s="834"/>
      <c r="AG930" s="834"/>
      <c r="AH930" s="834"/>
      <c r="AK930" s="514"/>
      <c r="AL930" s="514"/>
      <c r="AM930" s="535" t="s">
        <v>712</v>
      </c>
      <c r="AN930" s="512" t="s">
        <v>411</v>
      </c>
      <c r="AO930" s="512" t="s">
        <v>329</v>
      </c>
      <c r="AP930" s="512">
        <v>1.6</v>
      </c>
      <c r="AQ930" s="512">
        <v>0.7</v>
      </c>
      <c r="AR930" s="524">
        <v>0.45</v>
      </c>
      <c r="AS930" s="524" t="s">
        <v>423</v>
      </c>
      <c r="AT930" s="512" t="s">
        <v>329</v>
      </c>
      <c r="AU930" s="512">
        <v>1000</v>
      </c>
      <c r="AV930" s="512">
        <v>500</v>
      </c>
      <c r="AW930" s="519">
        <v>300</v>
      </c>
      <c r="AX930" s="513" t="s">
        <v>649</v>
      </c>
      <c r="AY930" s="536" t="s">
        <v>329</v>
      </c>
      <c r="AZ930" s="537">
        <v>90</v>
      </c>
      <c r="BA930" s="514"/>
      <c r="BB930" s="514"/>
      <c r="BC930" s="514"/>
      <c r="BD930" s="514"/>
      <c r="BE930" s="514"/>
      <c r="BF930" s="514"/>
      <c r="BG930" s="514"/>
      <c r="BH930" s="514"/>
      <c r="BI930" s="514"/>
      <c r="BJ930" s="544" t="s">
        <v>144</v>
      </c>
      <c r="BK930" s="510"/>
      <c r="BL930" s="510"/>
      <c r="BM930" s="384"/>
    </row>
    <row r="931" spans="1:65" ht="12.75" customHeight="1" x14ac:dyDescent="0.2">
      <c r="A931" s="564"/>
      <c r="B931" s="340"/>
      <c r="C931" s="834"/>
      <c r="D931" s="834"/>
      <c r="E931" s="834"/>
      <c r="F931" s="834"/>
      <c r="G931" s="834"/>
      <c r="H931" s="834"/>
      <c r="I931" s="834"/>
      <c r="J931" s="834"/>
      <c r="K931" s="834"/>
      <c r="L931" s="834"/>
      <c r="M931" s="834"/>
      <c r="N931" s="834"/>
      <c r="O931" s="834"/>
      <c r="P931" s="834"/>
      <c r="Q931" s="834"/>
      <c r="R931" s="834"/>
      <c r="S931" s="834"/>
      <c r="T931" s="834"/>
      <c r="U931" s="834"/>
      <c r="V931" s="834"/>
      <c r="W931" s="834"/>
      <c r="X931" s="834"/>
      <c r="Y931" s="834"/>
      <c r="Z931" s="834"/>
      <c r="AA931" s="834"/>
      <c r="AB931" s="834"/>
      <c r="AC931" s="834"/>
      <c r="AD931" s="834"/>
      <c r="AE931" s="834"/>
      <c r="AF931" s="834"/>
      <c r="AG931" s="834"/>
      <c r="AH931" s="834"/>
      <c r="AK931" s="514"/>
      <c r="AL931" s="514"/>
      <c r="AM931" s="535" t="s">
        <v>715</v>
      </c>
      <c r="AN931" s="512" t="s">
        <v>420</v>
      </c>
      <c r="AO931" s="512" t="s">
        <v>329</v>
      </c>
      <c r="AP931" s="512">
        <v>40</v>
      </c>
      <c r="AQ931" s="512">
        <v>30</v>
      </c>
      <c r="AR931" s="524">
        <v>30</v>
      </c>
      <c r="AS931" s="524" t="s">
        <v>427</v>
      </c>
      <c r="AT931" s="512" t="s">
        <v>428</v>
      </c>
      <c r="AU931" s="512">
        <v>70</v>
      </c>
      <c r="AV931" s="512">
        <v>25</v>
      </c>
      <c r="AW931" s="519">
        <v>15</v>
      </c>
      <c r="AX931" s="513" t="s">
        <v>53</v>
      </c>
      <c r="AY931" s="513" t="s">
        <v>329</v>
      </c>
      <c r="AZ931" s="541">
        <v>30</v>
      </c>
      <c r="BA931" s="514"/>
      <c r="BB931" s="514"/>
      <c r="BC931" s="514"/>
      <c r="BD931" s="514"/>
      <c r="BE931" s="514"/>
      <c r="BF931" s="514"/>
      <c r="BG931" s="514"/>
      <c r="BH931" s="514"/>
      <c r="BI931" s="514"/>
      <c r="BJ931" s="544" t="s">
        <v>145</v>
      </c>
      <c r="BK931" s="510"/>
      <c r="BL931" s="510"/>
      <c r="BM931" s="384"/>
    </row>
    <row r="932" spans="1:65" ht="14.25" x14ac:dyDescent="0.2">
      <c r="A932" s="564"/>
      <c r="B932" s="340"/>
      <c r="C932" s="834"/>
      <c r="D932" s="834"/>
      <c r="E932" s="834"/>
      <c r="F932" s="834"/>
      <c r="G932" s="834"/>
      <c r="H932" s="834"/>
      <c r="I932" s="834"/>
      <c r="J932" s="834"/>
      <c r="K932" s="834"/>
      <c r="L932" s="834"/>
      <c r="M932" s="834"/>
      <c r="N932" s="834"/>
      <c r="O932" s="834"/>
      <c r="P932" s="834"/>
      <c r="Q932" s="834"/>
      <c r="R932" s="834"/>
      <c r="S932" s="834"/>
      <c r="T932" s="834"/>
      <c r="U932" s="834"/>
      <c r="V932" s="834"/>
      <c r="W932" s="834"/>
      <c r="X932" s="834"/>
      <c r="Y932" s="834"/>
      <c r="Z932" s="834"/>
      <c r="AA932" s="834"/>
      <c r="AB932" s="834"/>
      <c r="AC932" s="834"/>
      <c r="AD932" s="834"/>
      <c r="AE932" s="834"/>
      <c r="AF932" s="834"/>
      <c r="AG932" s="834"/>
      <c r="AH932" s="834"/>
      <c r="AK932" s="514"/>
      <c r="AL932" s="514"/>
      <c r="AM932" s="535" t="s">
        <v>716</v>
      </c>
      <c r="AN932" s="512" t="s">
        <v>422</v>
      </c>
      <c r="AO932" s="512" t="s">
        <v>428</v>
      </c>
      <c r="AP932" s="512">
        <v>10</v>
      </c>
      <c r="AQ932" s="512">
        <v>5</v>
      </c>
      <c r="AR932" s="512">
        <v>5</v>
      </c>
      <c r="AS932" s="512" t="s">
        <v>416</v>
      </c>
      <c r="AT932" s="512" t="s">
        <v>329</v>
      </c>
      <c r="AU932" s="512">
        <v>12</v>
      </c>
      <c r="AV932" s="512">
        <v>4.5</v>
      </c>
      <c r="AW932" s="519">
        <v>4.5</v>
      </c>
      <c r="AX932" s="513" t="s">
        <v>325</v>
      </c>
      <c r="AY932" s="513" t="s">
        <v>329</v>
      </c>
      <c r="AZ932" s="541"/>
      <c r="BA932" s="514"/>
      <c r="BB932" s="514"/>
      <c r="BC932" s="514"/>
      <c r="BD932" s="514"/>
      <c r="BE932" s="514"/>
      <c r="BF932" s="514"/>
      <c r="BG932" s="514"/>
      <c r="BH932" s="514"/>
      <c r="BI932" s="514"/>
      <c r="BJ932" s="544" t="s">
        <v>146</v>
      </c>
      <c r="BK932" s="510"/>
      <c r="BL932" s="510"/>
      <c r="BM932" s="384"/>
    </row>
    <row r="933" spans="1:65" ht="14.25" x14ac:dyDescent="0.2">
      <c r="A933" s="564"/>
      <c r="B933" s="340"/>
      <c r="C933" s="834"/>
      <c r="D933" s="834"/>
      <c r="E933" s="834"/>
      <c r="F933" s="834"/>
      <c r="G933" s="834"/>
      <c r="H933" s="834"/>
      <c r="I933" s="834"/>
      <c r="J933" s="834"/>
      <c r="K933" s="834"/>
      <c r="L933" s="834"/>
      <c r="M933" s="834"/>
      <c r="N933" s="834"/>
      <c r="O933" s="834"/>
      <c r="P933" s="834"/>
      <c r="Q933" s="834"/>
      <c r="R933" s="834"/>
      <c r="S933" s="834"/>
      <c r="T933" s="834"/>
      <c r="U933" s="834"/>
      <c r="V933" s="834"/>
      <c r="W933" s="834"/>
      <c r="X933" s="834"/>
      <c r="Y933" s="834"/>
      <c r="Z933" s="834"/>
      <c r="AA933" s="834"/>
      <c r="AB933" s="834"/>
      <c r="AC933" s="834"/>
      <c r="AD933" s="834"/>
      <c r="AE933" s="834"/>
      <c r="AF933" s="834"/>
      <c r="AG933" s="834"/>
      <c r="AH933" s="834"/>
      <c r="AK933" s="514"/>
      <c r="AL933" s="514"/>
      <c r="AM933" s="535" t="s">
        <v>717</v>
      </c>
      <c r="AN933" s="512" t="s">
        <v>412</v>
      </c>
      <c r="AO933" s="512" t="s">
        <v>329</v>
      </c>
      <c r="AP933" s="512">
        <v>10</v>
      </c>
      <c r="AQ933" s="512">
        <v>5</v>
      </c>
      <c r="AR933" s="512">
        <v>4</v>
      </c>
      <c r="AS933" s="512"/>
      <c r="AT933" s="512"/>
      <c r="AU933" s="512"/>
      <c r="AV933" s="514"/>
      <c r="AW933" s="513"/>
      <c r="AX933" s="513" t="s">
        <v>54</v>
      </c>
      <c r="AY933" s="536" t="s">
        <v>329</v>
      </c>
      <c r="AZ933" s="537">
        <v>2300</v>
      </c>
      <c r="BA933" s="514"/>
      <c r="BB933" s="514"/>
      <c r="BC933" s="514"/>
      <c r="BD933" s="514"/>
      <c r="BE933" s="514"/>
      <c r="BF933" s="514"/>
      <c r="BG933" s="514"/>
      <c r="BH933" s="514"/>
      <c r="BI933" s="514"/>
      <c r="BJ933" s="544" t="s">
        <v>147</v>
      </c>
      <c r="BK933" s="510"/>
      <c r="BL933" s="510"/>
      <c r="BM933" s="384"/>
    </row>
    <row r="934" spans="1:65" ht="12.75" x14ac:dyDescent="0.2">
      <c r="A934" s="564"/>
      <c r="B934" s="340"/>
      <c r="C934" s="834"/>
      <c r="D934" s="834"/>
      <c r="E934" s="834"/>
      <c r="F934" s="834"/>
      <c r="G934" s="834"/>
      <c r="H934" s="834"/>
      <c r="I934" s="834"/>
      <c r="J934" s="834"/>
      <c r="K934" s="834"/>
      <c r="L934" s="834"/>
      <c r="M934" s="834"/>
      <c r="N934" s="834"/>
      <c r="O934" s="834"/>
      <c r="P934" s="834"/>
      <c r="Q934" s="834"/>
      <c r="R934" s="834"/>
      <c r="S934" s="834"/>
      <c r="T934" s="834"/>
      <c r="U934" s="834"/>
      <c r="V934" s="834"/>
      <c r="W934" s="834"/>
      <c r="X934" s="834"/>
      <c r="Y934" s="834"/>
      <c r="Z934" s="834"/>
      <c r="AA934" s="834"/>
      <c r="AB934" s="834"/>
      <c r="AC934" s="834"/>
      <c r="AD934" s="834"/>
      <c r="AE934" s="834"/>
      <c r="AF934" s="834"/>
      <c r="AG934" s="834"/>
      <c r="AH934" s="834"/>
      <c r="AK934" s="514"/>
      <c r="AL934" s="514"/>
      <c r="AM934" s="535" t="s">
        <v>718</v>
      </c>
      <c r="AN934" s="512" t="s">
        <v>638</v>
      </c>
      <c r="AO934" s="512" t="s">
        <v>428</v>
      </c>
      <c r="AP934" s="512">
        <v>80</v>
      </c>
      <c r="AQ934" s="512">
        <v>15</v>
      </c>
      <c r="AR934" s="514">
        <v>10</v>
      </c>
      <c r="AS934" s="514"/>
      <c r="AT934" s="514"/>
      <c r="AU934" s="514"/>
      <c r="AV934" s="514"/>
      <c r="AW934" s="513"/>
      <c r="AX934" s="513" t="s">
        <v>55</v>
      </c>
      <c r="AY934" s="513" t="s">
        <v>329</v>
      </c>
      <c r="AZ934" s="541"/>
      <c r="BA934" s="514"/>
      <c r="BB934" s="514"/>
      <c r="BC934" s="514"/>
      <c r="BD934" s="514"/>
      <c r="BE934" s="514"/>
      <c r="BF934" s="514"/>
      <c r="BG934" s="514"/>
      <c r="BH934" s="514"/>
      <c r="BI934" s="514"/>
      <c r="BJ934" s="521"/>
      <c r="BK934" s="510"/>
      <c r="BL934" s="510"/>
      <c r="BM934" s="384"/>
    </row>
    <row r="935" spans="1:65" ht="12.75" x14ac:dyDescent="0.2">
      <c r="A935" s="564"/>
      <c r="B935" s="340"/>
      <c r="C935" s="834"/>
      <c r="D935" s="834"/>
      <c r="E935" s="834"/>
      <c r="F935" s="834"/>
      <c r="G935" s="834"/>
      <c r="H935" s="834"/>
      <c r="I935" s="834"/>
      <c r="J935" s="834"/>
      <c r="K935" s="834"/>
      <c r="L935" s="834"/>
      <c r="M935" s="834"/>
      <c r="N935" s="834"/>
      <c r="O935" s="834"/>
      <c r="P935" s="834"/>
      <c r="Q935" s="834"/>
      <c r="R935" s="834"/>
      <c r="S935" s="834"/>
      <c r="T935" s="834"/>
      <c r="U935" s="834"/>
      <c r="V935" s="834"/>
      <c r="W935" s="834"/>
      <c r="X935" s="834"/>
      <c r="Y935" s="834"/>
      <c r="Z935" s="834"/>
      <c r="AA935" s="834"/>
      <c r="AB935" s="834"/>
      <c r="AC935" s="834"/>
      <c r="AD935" s="834"/>
      <c r="AE935" s="834"/>
      <c r="AF935" s="834"/>
      <c r="AG935" s="834"/>
      <c r="AH935" s="834"/>
      <c r="AM935" s="511" t="s">
        <v>720</v>
      </c>
      <c r="AN935" s="548" t="s">
        <v>639</v>
      </c>
      <c r="AO935" s="548" t="s">
        <v>428</v>
      </c>
      <c r="AP935" s="548">
        <v>30</v>
      </c>
      <c r="AQ935" s="548">
        <v>8</v>
      </c>
      <c r="AR935" s="549">
        <v>6</v>
      </c>
      <c r="AS935" s="549"/>
      <c r="AT935" s="529"/>
      <c r="AU935" s="529"/>
      <c r="AV935" s="529"/>
      <c r="AW935" s="530"/>
      <c r="AX935" s="545" t="s">
        <v>46</v>
      </c>
      <c r="AY935" s="546" t="s">
        <v>329</v>
      </c>
      <c r="AZ935" s="547"/>
      <c r="BK935" s="384"/>
      <c r="BL935" s="384"/>
      <c r="BM935" s="384"/>
    </row>
    <row r="936" spans="1:65" ht="12.75" customHeight="1" x14ac:dyDescent="0.2">
      <c r="A936" s="564"/>
      <c r="B936" s="340"/>
      <c r="C936" s="834"/>
      <c r="D936" s="834"/>
      <c r="E936" s="834"/>
      <c r="F936" s="834"/>
      <c r="G936" s="834"/>
      <c r="H936" s="834"/>
      <c r="I936" s="834"/>
      <c r="J936" s="834"/>
      <c r="K936" s="834"/>
      <c r="L936" s="834"/>
      <c r="M936" s="834"/>
      <c r="N936" s="834"/>
      <c r="O936" s="834"/>
      <c r="P936" s="834"/>
      <c r="Q936" s="834"/>
      <c r="R936" s="834"/>
      <c r="S936" s="834"/>
      <c r="T936" s="834"/>
      <c r="U936" s="834"/>
      <c r="V936" s="834"/>
      <c r="W936" s="834"/>
      <c r="X936" s="834"/>
      <c r="Y936" s="834"/>
      <c r="Z936" s="834"/>
      <c r="AA936" s="834"/>
      <c r="AB936" s="834"/>
      <c r="AC936" s="834"/>
      <c r="AD936" s="834"/>
      <c r="AE936" s="834"/>
      <c r="AF936" s="834"/>
      <c r="AG936" s="834"/>
      <c r="AH936" s="834"/>
      <c r="AM936" s="511" t="s">
        <v>721</v>
      </c>
      <c r="AN936" s="514" t="s">
        <v>640</v>
      </c>
      <c r="AO936" s="399"/>
      <c r="AP936" s="399"/>
      <c r="AQ936" s="399"/>
      <c r="AR936" s="400"/>
      <c r="AS936" s="400"/>
      <c r="AT936" s="400"/>
      <c r="AU936" s="400"/>
      <c r="AV936" s="400"/>
      <c r="AW936" s="396"/>
      <c r="AX936" s="513" t="s">
        <v>44</v>
      </c>
      <c r="AY936" s="528" t="s">
        <v>323</v>
      </c>
      <c r="AZ936" s="527"/>
    </row>
    <row r="937" spans="1:65" ht="12.75" x14ac:dyDescent="0.2">
      <c r="A937" s="564"/>
      <c r="B937" s="340"/>
      <c r="C937" s="834"/>
      <c r="D937" s="834"/>
      <c r="E937" s="834"/>
      <c r="F937" s="834"/>
      <c r="G937" s="834"/>
      <c r="H937" s="834"/>
      <c r="I937" s="834"/>
      <c r="J937" s="834"/>
      <c r="K937" s="834"/>
      <c r="L937" s="834"/>
      <c r="M937" s="834"/>
      <c r="N937" s="834"/>
      <c r="O937" s="834"/>
      <c r="P937" s="834"/>
      <c r="Q937" s="834"/>
      <c r="R937" s="834"/>
      <c r="S937" s="834"/>
      <c r="T937" s="834"/>
      <c r="U937" s="834"/>
      <c r="V937" s="834"/>
      <c r="W937" s="834"/>
      <c r="X937" s="834"/>
      <c r="Y937" s="834"/>
      <c r="Z937" s="834"/>
      <c r="AA937" s="834"/>
      <c r="AB937" s="834"/>
      <c r="AC937" s="834"/>
      <c r="AD937" s="834"/>
      <c r="AE937" s="834"/>
      <c r="AF937" s="834"/>
      <c r="AG937" s="834"/>
      <c r="AH937" s="834"/>
      <c r="AM937" s="511" t="s">
        <v>722</v>
      </c>
      <c r="AN937" s="402"/>
      <c r="AO937" s="371"/>
      <c r="AP937" s="371"/>
      <c r="AX937" s="404"/>
      <c r="AY937" s="404"/>
      <c r="AZ937" s="404"/>
    </row>
    <row r="938" spans="1:65" ht="12.75" x14ac:dyDescent="0.2">
      <c r="A938" s="564"/>
      <c r="B938" s="340"/>
      <c r="C938" s="834"/>
      <c r="D938" s="834"/>
      <c r="E938" s="834"/>
      <c r="F938" s="834"/>
      <c r="G938" s="834"/>
      <c r="H938" s="834"/>
      <c r="I938" s="834"/>
      <c r="J938" s="834"/>
      <c r="K938" s="834"/>
      <c r="L938" s="834"/>
      <c r="M938" s="834"/>
      <c r="N938" s="834"/>
      <c r="O938" s="834"/>
      <c r="P938" s="834"/>
      <c r="Q938" s="834"/>
      <c r="R938" s="834"/>
      <c r="S938" s="834"/>
      <c r="T938" s="834"/>
      <c r="U938" s="834"/>
      <c r="V938" s="834"/>
      <c r="W938" s="834"/>
      <c r="X938" s="834"/>
      <c r="Y938" s="834"/>
      <c r="Z938" s="834"/>
      <c r="AA938" s="834"/>
      <c r="AB938" s="834"/>
      <c r="AC938" s="834"/>
      <c r="AD938" s="834"/>
      <c r="AE938" s="834"/>
      <c r="AF938" s="834"/>
      <c r="AG938" s="834"/>
      <c r="AH938" s="834"/>
      <c r="AM938" s="511" t="s">
        <v>723</v>
      </c>
      <c r="AN938" s="402"/>
      <c r="AO938" s="371"/>
      <c r="AP938" s="371"/>
      <c r="AQ938" s="371"/>
      <c r="AR938" s="371"/>
      <c r="AS938" s="371"/>
    </row>
    <row r="939" spans="1:65" ht="11.25" customHeight="1" x14ac:dyDescent="0.2">
      <c r="A939" s="564"/>
      <c r="B939" s="340"/>
      <c r="C939" s="834"/>
      <c r="D939" s="834"/>
      <c r="E939" s="834"/>
      <c r="F939" s="834"/>
      <c r="G939" s="834"/>
      <c r="H939" s="834"/>
      <c r="I939" s="834"/>
      <c r="J939" s="834"/>
      <c r="K939" s="834"/>
      <c r="L939" s="834"/>
      <c r="M939" s="834"/>
      <c r="N939" s="834"/>
      <c r="O939" s="834"/>
      <c r="P939" s="834"/>
      <c r="Q939" s="834"/>
      <c r="R939" s="834"/>
      <c r="S939" s="834"/>
      <c r="T939" s="834"/>
      <c r="U939" s="834"/>
      <c r="V939" s="834"/>
      <c r="W939" s="834"/>
      <c r="X939" s="834"/>
      <c r="Y939" s="834"/>
      <c r="Z939" s="834"/>
      <c r="AA939" s="834"/>
      <c r="AB939" s="834"/>
      <c r="AC939" s="834"/>
      <c r="AD939" s="834"/>
      <c r="AE939" s="834"/>
      <c r="AF939" s="834"/>
      <c r="AG939" s="834"/>
      <c r="AH939" s="834"/>
      <c r="AM939" s="511" t="s">
        <v>725</v>
      </c>
      <c r="AN939" s="402"/>
      <c r="AO939" s="371"/>
      <c r="AP939" s="371"/>
      <c r="AQ939" s="371"/>
      <c r="AR939" s="371"/>
      <c r="AS939" s="371"/>
    </row>
    <row r="940" spans="1:65" ht="12.75" x14ac:dyDescent="0.2">
      <c r="A940" s="564"/>
      <c r="B940" s="340"/>
      <c r="C940" s="834"/>
      <c r="D940" s="834"/>
      <c r="E940" s="834"/>
      <c r="F940" s="834"/>
      <c r="G940" s="834"/>
      <c r="H940" s="834"/>
      <c r="I940" s="834"/>
      <c r="J940" s="834"/>
      <c r="K940" s="834"/>
      <c r="L940" s="834"/>
      <c r="M940" s="834"/>
      <c r="N940" s="834"/>
      <c r="O940" s="834"/>
      <c r="P940" s="834"/>
      <c r="Q940" s="834"/>
      <c r="R940" s="834"/>
      <c r="S940" s="834"/>
      <c r="T940" s="834"/>
      <c r="U940" s="834"/>
      <c r="V940" s="834"/>
      <c r="W940" s="834"/>
      <c r="X940" s="834"/>
      <c r="Y940" s="834"/>
      <c r="Z940" s="834"/>
      <c r="AA940" s="834"/>
      <c r="AB940" s="834"/>
      <c r="AC940" s="834"/>
      <c r="AD940" s="834"/>
      <c r="AE940" s="834"/>
      <c r="AF940" s="834"/>
      <c r="AG940" s="834"/>
      <c r="AH940" s="834"/>
      <c r="AM940" s="511" t="s">
        <v>727</v>
      </c>
      <c r="AN940" s="402"/>
      <c r="AO940" s="371"/>
      <c r="AP940" s="371"/>
      <c r="AQ940" s="371"/>
      <c r="AR940" s="371"/>
      <c r="AS940" s="371"/>
    </row>
    <row r="941" spans="1:65" ht="12.75" x14ac:dyDescent="0.2">
      <c r="A941" s="564"/>
      <c r="B941" s="340"/>
      <c r="C941" s="834"/>
      <c r="D941" s="834"/>
      <c r="E941" s="834"/>
      <c r="F941" s="834"/>
      <c r="G941" s="834"/>
      <c r="H941" s="834"/>
      <c r="I941" s="834"/>
      <c r="J941" s="834"/>
      <c r="K941" s="834"/>
      <c r="L941" s="834"/>
      <c r="M941" s="834"/>
      <c r="N941" s="834"/>
      <c r="O941" s="834"/>
      <c r="P941" s="834"/>
      <c r="Q941" s="834"/>
      <c r="R941" s="834"/>
      <c r="S941" s="834"/>
      <c r="T941" s="834"/>
      <c r="U941" s="834"/>
      <c r="V941" s="834"/>
      <c r="W941" s="834"/>
      <c r="X941" s="834"/>
      <c r="Y941" s="834"/>
      <c r="Z941" s="834"/>
      <c r="AA941" s="834"/>
      <c r="AB941" s="834"/>
      <c r="AC941" s="834"/>
      <c r="AD941" s="834"/>
      <c r="AE941" s="834"/>
      <c r="AF941" s="834"/>
      <c r="AG941" s="834"/>
      <c r="AH941" s="834"/>
      <c r="AM941" s="511" t="s">
        <v>728</v>
      </c>
      <c r="AN941" s="402"/>
      <c r="AO941" s="371"/>
      <c r="AP941" s="371"/>
      <c r="AQ941" s="371"/>
      <c r="AR941" s="371"/>
      <c r="AS941" s="371"/>
    </row>
    <row r="942" spans="1:65" ht="12.75" x14ac:dyDescent="0.2">
      <c r="A942" s="564"/>
      <c r="B942" s="340"/>
      <c r="C942" s="834"/>
      <c r="D942" s="834"/>
      <c r="E942" s="834"/>
      <c r="F942" s="834"/>
      <c r="G942" s="834"/>
      <c r="H942" s="834"/>
      <c r="I942" s="834"/>
      <c r="J942" s="834"/>
      <c r="K942" s="834"/>
      <c r="L942" s="834"/>
      <c r="M942" s="834"/>
      <c r="N942" s="834"/>
      <c r="O942" s="834"/>
      <c r="P942" s="834"/>
      <c r="Q942" s="834"/>
      <c r="R942" s="834"/>
      <c r="S942" s="834"/>
      <c r="T942" s="834"/>
      <c r="U942" s="834"/>
      <c r="V942" s="834"/>
      <c r="W942" s="834"/>
      <c r="X942" s="834"/>
      <c r="Y942" s="834"/>
      <c r="Z942" s="834"/>
      <c r="AA942" s="834"/>
      <c r="AB942" s="834"/>
      <c r="AC942" s="834"/>
      <c r="AD942" s="834"/>
      <c r="AE942" s="834"/>
      <c r="AF942" s="834"/>
      <c r="AG942" s="834"/>
      <c r="AH942" s="834"/>
      <c r="AI942" s="377"/>
      <c r="AJ942" s="624"/>
      <c r="AK942" s="377"/>
      <c r="AM942" s="511" t="s">
        <v>729</v>
      </c>
      <c r="AN942" s="402"/>
      <c r="AO942" s="371"/>
      <c r="AP942" s="371"/>
      <c r="AQ942" s="371"/>
      <c r="AR942" s="371"/>
      <c r="AS942" s="371"/>
    </row>
    <row r="943" spans="1:65" ht="11.25" customHeight="1" x14ac:dyDescent="0.2">
      <c r="B943" s="332"/>
      <c r="C943" s="834"/>
      <c r="D943" s="834"/>
      <c r="E943" s="834"/>
      <c r="F943" s="834"/>
      <c r="G943" s="834"/>
      <c r="H943" s="834"/>
      <c r="I943" s="834"/>
      <c r="J943" s="834"/>
      <c r="K943" s="834"/>
      <c r="L943" s="834"/>
      <c r="M943" s="834"/>
      <c r="N943" s="834"/>
      <c r="O943" s="834"/>
      <c r="P943" s="834"/>
      <c r="Q943" s="834"/>
      <c r="R943" s="834"/>
      <c r="S943" s="834"/>
      <c r="T943" s="834"/>
      <c r="U943" s="834"/>
      <c r="V943" s="834"/>
      <c r="W943" s="834"/>
      <c r="X943" s="834"/>
      <c r="Y943" s="834"/>
      <c r="Z943" s="834"/>
      <c r="AA943" s="834"/>
      <c r="AB943" s="834"/>
      <c r="AC943" s="834"/>
      <c r="AD943" s="834"/>
      <c r="AE943" s="834"/>
      <c r="AF943" s="834"/>
      <c r="AG943" s="834"/>
      <c r="AH943" s="834"/>
      <c r="AI943" s="377"/>
      <c r="AJ943" s="624"/>
      <c r="AK943" s="377"/>
      <c r="AM943" s="511" t="s">
        <v>730</v>
      </c>
      <c r="AN943" s="402"/>
      <c r="AO943" s="371"/>
      <c r="AP943" s="371"/>
      <c r="AQ943" s="371"/>
      <c r="AR943" s="371"/>
      <c r="AS943" s="371"/>
    </row>
    <row r="944" spans="1:65" ht="12.75" x14ac:dyDescent="0.2">
      <c r="B944" s="332"/>
      <c r="C944" s="834"/>
      <c r="D944" s="834"/>
      <c r="E944" s="834"/>
      <c r="F944" s="834"/>
      <c r="G944" s="834"/>
      <c r="H944" s="834"/>
      <c r="I944" s="834"/>
      <c r="J944" s="834"/>
      <c r="K944" s="834"/>
      <c r="L944" s="834"/>
      <c r="M944" s="834"/>
      <c r="N944" s="834"/>
      <c r="O944" s="834"/>
      <c r="P944" s="834"/>
      <c r="Q944" s="834"/>
      <c r="R944" s="834"/>
      <c r="S944" s="834"/>
      <c r="T944" s="834"/>
      <c r="U944" s="834"/>
      <c r="V944" s="834"/>
      <c r="W944" s="834"/>
      <c r="X944" s="834"/>
      <c r="Y944" s="834"/>
      <c r="Z944" s="834"/>
      <c r="AA944" s="834"/>
      <c r="AB944" s="834"/>
      <c r="AC944" s="834"/>
      <c r="AD944" s="834"/>
      <c r="AE944" s="834"/>
      <c r="AF944" s="834"/>
      <c r="AG944" s="834"/>
      <c r="AH944" s="834"/>
      <c r="AI944" s="377"/>
      <c r="AJ944" s="624"/>
      <c r="AK944" s="377"/>
      <c r="AM944" s="511" t="s">
        <v>731</v>
      </c>
      <c r="AN944" s="402"/>
      <c r="AO944" s="371"/>
      <c r="AP944" s="371"/>
      <c r="AQ944" s="371"/>
      <c r="AR944" s="371"/>
      <c r="AS944" s="371"/>
    </row>
    <row r="945" spans="1:45" ht="12" customHeight="1" x14ac:dyDescent="0.2">
      <c r="A945" s="554"/>
      <c r="B945" s="332"/>
      <c r="C945" s="834"/>
      <c r="D945" s="834"/>
      <c r="E945" s="834"/>
      <c r="F945" s="834"/>
      <c r="G945" s="834"/>
      <c r="H945" s="834"/>
      <c r="I945" s="834"/>
      <c r="J945" s="834"/>
      <c r="K945" s="834"/>
      <c r="L945" s="834"/>
      <c r="M945" s="834"/>
      <c r="N945" s="834"/>
      <c r="O945" s="834"/>
      <c r="P945" s="834"/>
      <c r="Q945" s="834"/>
      <c r="R945" s="834"/>
      <c r="S945" s="834"/>
      <c r="T945" s="834"/>
      <c r="U945" s="834"/>
      <c r="V945" s="834"/>
      <c r="W945" s="834"/>
      <c r="X945" s="834"/>
      <c r="Y945" s="834"/>
      <c r="Z945" s="834"/>
      <c r="AA945" s="834"/>
      <c r="AB945" s="834"/>
      <c r="AC945" s="834"/>
      <c r="AD945" s="834"/>
      <c r="AE945" s="834"/>
      <c r="AF945" s="834"/>
      <c r="AG945" s="834"/>
      <c r="AH945" s="834"/>
      <c r="AI945" s="377"/>
      <c r="AJ945" s="624"/>
      <c r="AK945" s="377"/>
      <c r="AM945" s="511" t="s">
        <v>734</v>
      </c>
      <c r="AN945" s="402"/>
      <c r="AO945" s="371"/>
      <c r="AP945" s="371"/>
      <c r="AQ945" s="371"/>
      <c r="AR945" s="371"/>
      <c r="AS945" s="371"/>
    </row>
    <row r="946" spans="1:45" ht="15.75" customHeight="1" x14ac:dyDescent="0.2">
      <c r="A946" s="554"/>
      <c r="B946" s="332"/>
      <c r="C946" s="834"/>
      <c r="D946" s="834"/>
      <c r="E946" s="834"/>
      <c r="F946" s="834"/>
      <c r="G946" s="834"/>
      <c r="H946" s="834"/>
      <c r="I946" s="834"/>
      <c r="J946" s="834"/>
      <c r="K946" s="834"/>
      <c r="L946" s="834"/>
      <c r="M946" s="834"/>
      <c r="N946" s="834"/>
      <c r="O946" s="834"/>
      <c r="P946" s="834"/>
      <c r="Q946" s="834"/>
      <c r="R946" s="834"/>
      <c r="S946" s="834"/>
      <c r="T946" s="834"/>
      <c r="U946" s="834"/>
      <c r="V946" s="834"/>
      <c r="W946" s="834"/>
      <c r="X946" s="834"/>
      <c r="Y946" s="834"/>
      <c r="Z946" s="834"/>
      <c r="AA946" s="834"/>
      <c r="AB946" s="834"/>
      <c r="AC946" s="834"/>
      <c r="AD946" s="834"/>
      <c r="AE946" s="834"/>
      <c r="AF946" s="834"/>
      <c r="AG946" s="834"/>
      <c r="AH946" s="834"/>
      <c r="AI946" s="377"/>
      <c r="AJ946" s="624"/>
      <c r="AK946" s="377"/>
      <c r="AM946" s="511" t="s">
        <v>735</v>
      </c>
      <c r="AN946" s="402"/>
      <c r="AO946" s="371"/>
      <c r="AP946" s="371"/>
      <c r="AQ946" s="371"/>
      <c r="AR946" s="371"/>
      <c r="AS946" s="371"/>
    </row>
    <row r="947" spans="1:45" ht="15.75" customHeight="1" x14ac:dyDescent="0.2">
      <c r="A947" s="554"/>
      <c r="B947" s="332"/>
      <c r="C947" s="834"/>
      <c r="D947" s="834"/>
      <c r="E947" s="834"/>
      <c r="F947" s="834"/>
      <c r="G947" s="834"/>
      <c r="H947" s="834"/>
      <c r="I947" s="834"/>
      <c r="J947" s="834"/>
      <c r="K947" s="834"/>
      <c r="L947" s="834"/>
      <c r="M947" s="834"/>
      <c r="N947" s="834"/>
      <c r="O947" s="834"/>
      <c r="P947" s="834"/>
      <c r="Q947" s="834"/>
      <c r="R947" s="834"/>
      <c r="S947" s="834"/>
      <c r="T947" s="834"/>
      <c r="U947" s="834"/>
      <c r="V947" s="834"/>
      <c r="W947" s="834"/>
      <c r="X947" s="834"/>
      <c r="Y947" s="834"/>
      <c r="Z947" s="834"/>
      <c r="AA947" s="834"/>
      <c r="AB947" s="834"/>
      <c r="AC947" s="834"/>
      <c r="AD947" s="834"/>
      <c r="AE947" s="834"/>
      <c r="AF947" s="834"/>
      <c r="AG947" s="834"/>
      <c r="AH947" s="834"/>
      <c r="AI947" s="377"/>
      <c r="AJ947" s="624"/>
      <c r="AK947" s="377"/>
      <c r="AM947" s="511" t="s">
        <v>736</v>
      </c>
      <c r="AN947" s="402"/>
      <c r="AO947" s="371"/>
      <c r="AP947" s="371"/>
      <c r="AQ947" s="371"/>
      <c r="AR947" s="371"/>
      <c r="AS947" s="371"/>
    </row>
    <row r="948" spans="1:45" ht="15.75" customHeight="1" x14ac:dyDescent="0.2">
      <c r="A948" s="554"/>
      <c r="B948" s="332"/>
      <c r="C948" s="834"/>
      <c r="D948" s="834"/>
      <c r="E948" s="834"/>
      <c r="F948" s="834"/>
      <c r="G948" s="834"/>
      <c r="H948" s="834"/>
      <c r="I948" s="834"/>
      <c r="J948" s="834"/>
      <c r="K948" s="834"/>
      <c r="L948" s="834"/>
      <c r="M948" s="834"/>
      <c r="N948" s="834"/>
      <c r="O948" s="834"/>
      <c r="P948" s="834"/>
      <c r="Q948" s="834"/>
      <c r="R948" s="834"/>
      <c r="S948" s="834"/>
      <c r="T948" s="834"/>
      <c r="U948" s="834"/>
      <c r="V948" s="834"/>
      <c r="W948" s="834"/>
      <c r="X948" s="834"/>
      <c r="Y948" s="834"/>
      <c r="Z948" s="834"/>
      <c r="AA948" s="834"/>
      <c r="AB948" s="834"/>
      <c r="AC948" s="834"/>
      <c r="AD948" s="834"/>
      <c r="AE948" s="834"/>
      <c r="AF948" s="834"/>
      <c r="AG948" s="834"/>
      <c r="AH948" s="834"/>
      <c r="AI948" s="377"/>
      <c r="AJ948" s="624"/>
      <c r="AK948" s="377"/>
      <c r="AM948" s="511" t="s">
        <v>737</v>
      </c>
      <c r="AN948" s="402"/>
      <c r="AO948" s="371"/>
      <c r="AP948" s="371"/>
      <c r="AQ948" s="371"/>
      <c r="AR948" s="371"/>
      <c r="AS948" s="371"/>
    </row>
    <row r="949" spans="1:45" ht="12.75" customHeight="1" x14ac:dyDescent="0.2">
      <c r="A949" s="554"/>
      <c r="B949" s="332"/>
      <c r="C949" s="834"/>
      <c r="D949" s="834"/>
      <c r="E949" s="834"/>
      <c r="F949" s="834"/>
      <c r="G949" s="834"/>
      <c r="H949" s="834"/>
      <c r="I949" s="834"/>
      <c r="J949" s="834"/>
      <c r="K949" s="834"/>
      <c r="L949" s="834"/>
      <c r="M949" s="834"/>
      <c r="N949" s="834"/>
      <c r="O949" s="834"/>
      <c r="P949" s="834"/>
      <c r="Q949" s="834"/>
      <c r="R949" s="834"/>
      <c r="S949" s="834"/>
      <c r="T949" s="834"/>
      <c r="U949" s="834"/>
      <c r="V949" s="834"/>
      <c r="W949" s="834"/>
      <c r="X949" s="834"/>
      <c r="Y949" s="834"/>
      <c r="Z949" s="834"/>
      <c r="AA949" s="834"/>
      <c r="AB949" s="834"/>
      <c r="AC949" s="834"/>
      <c r="AD949" s="834"/>
      <c r="AE949" s="834"/>
      <c r="AF949" s="834"/>
      <c r="AG949" s="834"/>
      <c r="AH949" s="834"/>
      <c r="AI949" s="377"/>
      <c r="AJ949" s="624"/>
      <c r="AK949" s="377"/>
      <c r="AM949" s="511" t="s">
        <v>738</v>
      </c>
      <c r="AN949" s="402"/>
      <c r="AO949" s="371"/>
      <c r="AP949" s="371"/>
      <c r="AQ949" s="371"/>
      <c r="AR949" s="371"/>
      <c r="AS949" s="371"/>
    </row>
    <row r="950" spans="1:45" ht="12.75" x14ac:dyDescent="0.2">
      <c r="A950" s="554"/>
      <c r="B950" s="332"/>
      <c r="C950" s="834"/>
      <c r="D950" s="834"/>
      <c r="E950" s="834"/>
      <c r="F950" s="834"/>
      <c r="G950" s="834"/>
      <c r="H950" s="834"/>
      <c r="I950" s="834"/>
      <c r="J950" s="834"/>
      <c r="K950" s="834"/>
      <c r="L950" s="834"/>
      <c r="M950" s="834"/>
      <c r="N950" s="834"/>
      <c r="O950" s="834"/>
      <c r="P950" s="834"/>
      <c r="Q950" s="834"/>
      <c r="R950" s="834"/>
      <c r="S950" s="834"/>
      <c r="T950" s="834"/>
      <c r="U950" s="834"/>
      <c r="V950" s="834"/>
      <c r="W950" s="834"/>
      <c r="X950" s="834"/>
      <c r="Y950" s="834"/>
      <c r="Z950" s="834"/>
      <c r="AA950" s="834"/>
      <c r="AB950" s="834"/>
      <c r="AC950" s="834"/>
      <c r="AD950" s="834"/>
      <c r="AE950" s="834"/>
      <c r="AF950" s="834"/>
      <c r="AG950" s="834"/>
      <c r="AH950" s="834"/>
      <c r="AI950" s="377"/>
      <c r="AJ950" s="624"/>
      <c r="AK950" s="377"/>
      <c r="AM950" s="511" t="s">
        <v>739</v>
      </c>
      <c r="AN950" s="402"/>
      <c r="AO950" s="371"/>
      <c r="AP950" s="371"/>
      <c r="AQ950" s="371"/>
      <c r="AR950" s="371"/>
      <c r="AS950" s="371"/>
    </row>
    <row r="951" spans="1:45" ht="12.75" x14ac:dyDescent="0.2">
      <c r="A951" s="554"/>
      <c r="B951" s="332"/>
      <c r="C951" s="834"/>
      <c r="D951" s="834"/>
      <c r="E951" s="834"/>
      <c r="F951" s="834"/>
      <c r="G951" s="834"/>
      <c r="H951" s="834"/>
      <c r="I951" s="834"/>
      <c r="J951" s="834"/>
      <c r="K951" s="834"/>
      <c r="L951" s="834"/>
      <c r="M951" s="834"/>
      <c r="N951" s="834"/>
      <c r="O951" s="834"/>
      <c r="P951" s="834"/>
      <c r="Q951" s="834"/>
      <c r="R951" s="834"/>
      <c r="S951" s="834"/>
      <c r="T951" s="834"/>
      <c r="U951" s="834"/>
      <c r="V951" s="834"/>
      <c r="W951" s="834"/>
      <c r="X951" s="834"/>
      <c r="Y951" s="834"/>
      <c r="Z951" s="834"/>
      <c r="AA951" s="834"/>
      <c r="AB951" s="834"/>
      <c r="AC951" s="834"/>
      <c r="AD951" s="834"/>
      <c r="AE951" s="834"/>
      <c r="AF951" s="834"/>
      <c r="AG951" s="834"/>
      <c r="AH951" s="834"/>
      <c r="AI951" s="377"/>
      <c r="AJ951" s="624"/>
      <c r="AK951" s="377"/>
      <c r="AM951" s="511" t="s">
        <v>740</v>
      </c>
      <c r="AN951" s="402"/>
      <c r="AO951" s="371"/>
      <c r="AP951" s="371"/>
      <c r="AQ951" s="371"/>
      <c r="AR951" s="371"/>
      <c r="AS951" s="371"/>
    </row>
    <row r="952" spans="1:45" ht="12.75" x14ac:dyDescent="0.2">
      <c r="A952" s="554"/>
      <c r="B952" s="332"/>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c r="AA952" s="160"/>
      <c r="AB952" s="160"/>
      <c r="AC952" s="160"/>
      <c r="AD952" s="160"/>
      <c r="AE952" s="160"/>
      <c r="AF952" s="160"/>
      <c r="AG952" s="160"/>
      <c r="AH952" s="246"/>
      <c r="AI952" s="377"/>
      <c r="AJ952" s="624"/>
      <c r="AK952" s="377"/>
      <c r="AM952" s="511" t="s">
        <v>741</v>
      </c>
      <c r="AN952" s="402"/>
      <c r="AO952" s="371"/>
      <c r="AP952" s="371"/>
      <c r="AQ952" s="371"/>
      <c r="AR952" s="371"/>
      <c r="AS952" s="371"/>
    </row>
    <row r="953" spans="1:45" ht="12.75" x14ac:dyDescent="0.2">
      <c r="A953" s="554"/>
      <c r="B953" s="332"/>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c r="AA953" s="160"/>
      <c r="AB953" s="160"/>
      <c r="AC953" s="160"/>
      <c r="AD953" s="160"/>
      <c r="AE953" s="160"/>
      <c r="AF953" s="160"/>
      <c r="AG953" s="160"/>
      <c r="AH953" s="246"/>
      <c r="AI953" s="377"/>
      <c r="AJ953" s="624"/>
      <c r="AK953" s="377"/>
      <c r="AM953" s="511" t="s">
        <v>743</v>
      </c>
      <c r="AN953" s="402"/>
      <c r="AO953" s="371"/>
      <c r="AP953" s="371"/>
      <c r="AQ953" s="371"/>
      <c r="AR953" s="371"/>
      <c r="AS953" s="371"/>
    </row>
    <row r="954" spans="1:45" ht="12.75" x14ac:dyDescent="0.2">
      <c r="A954" s="554"/>
      <c r="B954" s="332"/>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c r="AA954" s="160"/>
      <c r="AB954" s="160"/>
      <c r="AC954" s="160"/>
      <c r="AD954" s="160"/>
      <c r="AE954" s="160"/>
      <c r="AF954" s="160"/>
      <c r="AG954" s="160"/>
      <c r="AH954" s="246"/>
      <c r="AI954" s="377"/>
      <c r="AJ954" s="624"/>
      <c r="AK954" s="377"/>
      <c r="AM954" s="511" t="s">
        <v>744</v>
      </c>
      <c r="AN954" s="402"/>
      <c r="AO954" s="371"/>
      <c r="AP954" s="371"/>
      <c r="AQ954" s="371"/>
      <c r="AR954" s="371"/>
      <c r="AS954" s="371"/>
    </row>
    <row r="955" spans="1:45" ht="12.75" x14ac:dyDescent="0.2">
      <c r="A955" s="554"/>
      <c r="B955" s="332"/>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c r="AA955" s="160"/>
      <c r="AB955" s="160"/>
      <c r="AC955" s="160"/>
      <c r="AD955" s="160"/>
      <c r="AE955" s="160"/>
      <c r="AF955" s="160"/>
      <c r="AG955" s="160"/>
      <c r="AH955" s="246"/>
      <c r="AI955" s="377"/>
      <c r="AJ955" s="624"/>
      <c r="AK955" s="377"/>
      <c r="AM955" s="511" t="s">
        <v>745</v>
      </c>
      <c r="AN955" s="402"/>
      <c r="AO955" s="371"/>
      <c r="AP955" s="371"/>
      <c r="AQ955" s="371"/>
      <c r="AR955" s="371"/>
      <c r="AS955" s="371"/>
    </row>
    <row r="956" spans="1:45" ht="12.75" x14ac:dyDescent="0.2">
      <c r="A956" s="554"/>
      <c r="B956" s="332"/>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c r="AA956" s="160"/>
      <c r="AB956" s="160"/>
      <c r="AC956" s="160"/>
      <c r="AD956" s="160"/>
      <c r="AE956" s="160"/>
      <c r="AF956" s="160"/>
      <c r="AG956" s="160"/>
      <c r="AH956" s="246"/>
      <c r="AI956" s="377"/>
      <c r="AJ956" s="624"/>
      <c r="AK956" s="377"/>
      <c r="AM956" s="511" t="s">
        <v>747</v>
      </c>
      <c r="AN956" s="402"/>
      <c r="AO956" s="371"/>
      <c r="AP956" s="371"/>
      <c r="AQ956" s="371"/>
      <c r="AR956" s="371"/>
      <c r="AS956" s="371"/>
    </row>
    <row r="957" spans="1:45" ht="12.75" x14ac:dyDescent="0.2">
      <c r="A957" s="554"/>
      <c r="B957" s="332"/>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c r="AA957" s="160"/>
      <c r="AB957" s="160"/>
      <c r="AC957" s="160"/>
      <c r="AD957" s="160"/>
      <c r="AE957" s="160"/>
      <c r="AF957" s="160"/>
      <c r="AG957" s="160"/>
      <c r="AH957" s="246"/>
      <c r="AI957" s="377"/>
      <c r="AJ957" s="624"/>
      <c r="AK957" s="377"/>
      <c r="AM957" s="511" t="s">
        <v>749</v>
      </c>
      <c r="AN957" s="404"/>
    </row>
    <row r="958" spans="1:45" ht="12.75" x14ac:dyDescent="0.2">
      <c r="B958" s="332"/>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c r="AA958" s="160"/>
      <c r="AB958" s="160"/>
      <c r="AC958" s="160"/>
      <c r="AD958" s="160"/>
      <c r="AE958" s="160"/>
      <c r="AF958" s="160"/>
      <c r="AG958" s="160"/>
      <c r="AH958" s="246"/>
      <c r="AI958" s="377"/>
      <c r="AJ958" s="624"/>
      <c r="AK958" s="377"/>
      <c r="AM958" s="511" t="s">
        <v>750</v>
      </c>
      <c r="AN958" s="404"/>
    </row>
    <row r="959" spans="1:45" ht="12.75" x14ac:dyDescent="0.2">
      <c r="A959" s="564"/>
      <c r="B959" s="34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c r="AA959" s="160"/>
      <c r="AB959" s="160"/>
      <c r="AC959" s="160"/>
      <c r="AD959" s="160"/>
      <c r="AE959" s="160"/>
      <c r="AF959" s="160"/>
      <c r="AG959" s="160"/>
      <c r="AH959" s="243"/>
      <c r="AM959" s="511" t="s">
        <v>753</v>
      </c>
      <c r="AN959" s="404"/>
    </row>
    <row r="960" spans="1:45" ht="12.75" x14ac:dyDescent="0.2">
      <c r="A960" s="564"/>
      <c r="B960" s="34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243"/>
      <c r="AM960" s="511" t="s">
        <v>754</v>
      </c>
      <c r="AN960" s="404"/>
    </row>
    <row r="961" spans="1:40" ht="12.75" x14ac:dyDescent="0.2">
      <c r="A961" s="564"/>
      <c r="B961" s="34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c r="AA961" s="160"/>
      <c r="AB961" s="160"/>
      <c r="AC961" s="160"/>
      <c r="AD961" s="160"/>
      <c r="AE961" s="160"/>
      <c r="AF961" s="160"/>
      <c r="AG961" s="160"/>
      <c r="AH961" s="243"/>
      <c r="AM961" s="511" t="s">
        <v>755</v>
      </c>
      <c r="AN961" s="404"/>
    </row>
    <row r="962" spans="1:40" ht="12.75" x14ac:dyDescent="0.2">
      <c r="A962" s="564"/>
      <c r="B962" s="34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c r="AA962" s="160"/>
      <c r="AB962" s="160"/>
      <c r="AC962" s="160"/>
      <c r="AD962" s="160"/>
      <c r="AE962" s="160"/>
      <c r="AF962" s="160"/>
      <c r="AG962" s="160"/>
      <c r="AH962" s="243"/>
      <c r="AM962" s="511" t="s">
        <v>756</v>
      </c>
      <c r="AN962" s="404"/>
    </row>
    <row r="963" spans="1:40" ht="12.75" x14ac:dyDescent="0.2">
      <c r="A963" s="564"/>
      <c r="B963" s="34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c r="AA963" s="160"/>
      <c r="AB963" s="160"/>
      <c r="AC963" s="160"/>
      <c r="AD963" s="160"/>
      <c r="AE963" s="160"/>
      <c r="AF963" s="160"/>
      <c r="AG963" s="160"/>
      <c r="AH963" s="243"/>
      <c r="AM963" s="511" t="s">
        <v>758</v>
      </c>
      <c r="AN963" s="404"/>
    </row>
    <row r="964" spans="1:40" ht="12.75" x14ac:dyDescent="0.2">
      <c r="A964" s="564"/>
      <c r="B964" s="34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c r="AA964" s="160"/>
      <c r="AB964" s="160"/>
      <c r="AC964" s="160"/>
      <c r="AD964" s="160"/>
      <c r="AE964" s="160"/>
      <c r="AF964" s="160"/>
      <c r="AG964" s="160"/>
      <c r="AH964" s="243"/>
      <c r="AM964" s="511" t="s">
        <v>759</v>
      </c>
      <c r="AN964" s="404"/>
    </row>
    <row r="965" spans="1:40" ht="12.75" x14ac:dyDescent="0.2">
      <c r="A965" s="564"/>
      <c r="B965" s="34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c r="AA965" s="160"/>
      <c r="AB965" s="160"/>
      <c r="AC965" s="160"/>
      <c r="AD965" s="160"/>
      <c r="AE965" s="160"/>
      <c r="AF965" s="160"/>
      <c r="AG965" s="160"/>
      <c r="AH965" s="243"/>
      <c r="AM965" s="511" t="s">
        <v>760</v>
      </c>
      <c r="AN965" s="404"/>
    </row>
    <row r="966" spans="1:40" ht="12.75" x14ac:dyDescent="0.2">
      <c r="A966" s="564"/>
      <c r="B966" s="34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c r="AA966" s="160"/>
      <c r="AB966" s="160"/>
      <c r="AC966" s="160"/>
      <c r="AD966" s="160"/>
      <c r="AE966" s="160"/>
      <c r="AF966" s="160"/>
      <c r="AG966" s="160"/>
      <c r="AH966" s="243"/>
      <c r="AM966" s="511" t="s">
        <v>764</v>
      </c>
      <c r="AN966" s="404"/>
    </row>
    <row r="967" spans="1:40" ht="12.75" x14ac:dyDescent="0.2">
      <c r="A967" s="564"/>
      <c r="B967" s="34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c r="AA967" s="160"/>
      <c r="AB967" s="160"/>
      <c r="AC967" s="160"/>
      <c r="AD967" s="160"/>
      <c r="AE967" s="160"/>
      <c r="AF967" s="160"/>
      <c r="AG967" s="160"/>
      <c r="AH967" s="243"/>
      <c r="AM967" s="511" t="s">
        <v>767</v>
      </c>
      <c r="AN967" s="404"/>
    </row>
    <row r="968" spans="1:40" ht="12.75" x14ac:dyDescent="0.2">
      <c r="A968" s="564"/>
      <c r="B968" s="34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c r="AA968" s="160"/>
      <c r="AB968" s="160"/>
      <c r="AC968" s="160"/>
      <c r="AD968" s="160"/>
      <c r="AE968" s="160"/>
      <c r="AF968" s="160"/>
      <c r="AG968" s="160"/>
      <c r="AH968" s="243"/>
      <c r="AM968" s="511" t="s">
        <v>769</v>
      </c>
      <c r="AN968" s="404"/>
    </row>
    <row r="969" spans="1:40" ht="12.75" x14ac:dyDescent="0.2">
      <c r="A969" s="564"/>
      <c r="B969" s="34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c r="AA969" s="160"/>
      <c r="AB969" s="160"/>
      <c r="AC969" s="160"/>
      <c r="AD969" s="160"/>
      <c r="AE969" s="160"/>
      <c r="AF969" s="160"/>
      <c r="AG969" s="160"/>
      <c r="AH969" s="243"/>
      <c r="AM969" s="511" t="s">
        <v>771</v>
      </c>
      <c r="AN969" s="404"/>
    </row>
    <row r="970" spans="1:40" ht="12.75" x14ac:dyDescent="0.2">
      <c r="A970" s="564"/>
      <c r="B970" s="34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c r="AA970" s="160"/>
      <c r="AB970" s="160"/>
      <c r="AC970" s="160"/>
      <c r="AD970" s="160"/>
      <c r="AE970" s="160"/>
      <c r="AF970" s="160"/>
      <c r="AG970" s="160"/>
      <c r="AH970" s="243"/>
      <c r="AM970" s="511" t="s">
        <v>773</v>
      </c>
      <c r="AN970" s="404"/>
    </row>
    <row r="971" spans="1:40" ht="12.75" x14ac:dyDescent="0.2">
      <c r="A971" s="564"/>
      <c r="B971" s="34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c r="AA971" s="160"/>
      <c r="AB971" s="160"/>
      <c r="AC971" s="160"/>
      <c r="AD971" s="160"/>
      <c r="AE971" s="160"/>
      <c r="AF971" s="160"/>
      <c r="AG971" s="160"/>
      <c r="AH971" s="243"/>
      <c r="AM971" s="511" t="s">
        <v>774</v>
      </c>
      <c r="AN971" s="404"/>
    </row>
    <row r="972" spans="1:40" ht="12.75" x14ac:dyDescent="0.2">
      <c r="A972" s="564"/>
      <c r="B972" s="34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c r="AA972" s="160"/>
      <c r="AB972" s="160"/>
      <c r="AC972" s="160"/>
      <c r="AD972" s="160"/>
      <c r="AE972" s="160"/>
      <c r="AF972" s="160"/>
      <c r="AG972" s="160"/>
      <c r="AH972" s="243"/>
      <c r="AM972" s="511" t="s">
        <v>775</v>
      </c>
      <c r="AN972" s="404"/>
    </row>
    <row r="973" spans="1:40" ht="12.75" x14ac:dyDescent="0.2">
      <c r="A973" s="564"/>
      <c r="B973" s="34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c r="AA973" s="160"/>
      <c r="AB973" s="160"/>
      <c r="AC973" s="160"/>
      <c r="AD973" s="160"/>
      <c r="AE973" s="160"/>
      <c r="AF973" s="160"/>
      <c r="AG973" s="160"/>
      <c r="AH973" s="243"/>
      <c r="AM973" s="511" t="s">
        <v>776</v>
      </c>
      <c r="AN973" s="404"/>
    </row>
    <row r="974" spans="1:40" ht="12.75" x14ac:dyDescent="0.2">
      <c r="A974" s="564"/>
      <c r="B974" s="34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c r="AA974" s="160"/>
      <c r="AB974" s="160"/>
      <c r="AC974" s="160"/>
      <c r="AD974" s="160"/>
      <c r="AE974" s="160"/>
      <c r="AF974" s="160"/>
      <c r="AG974" s="160"/>
      <c r="AH974" s="243"/>
      <c r="AM974" s="511" t="s">
        <v>777</v>
      </c>
      <c r="AN974" s="404"/>
    </row>
    <row r="975" spans="1:40" ht="12.75" x14ac:dyDescent="0.2">
      <c r="A975" s="564"/>
      <c r="B975" s="34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c r="AA975" s="160"/>
      <c r="AB975" s="160"/>
      <c r="AC975" s="160"/>
      <c r="AD975" s="160"/>
      <c r="AE975" s="160"/>
      <c r="AF975" s="160"/>
      <c r="AG975" s="160"/>
      <c r="AH975" s="243"/>
      <c r="AM975" s="511" t="s">
        <v>779</v>
      </c>
      <c r="AN975" s="404"/>
    </row>
    <row r="976" spans="1:40" ht="12.75" x14ac:dyDescent="0.2">
      <c r="A976" s="564"/>
      <c r="B976" s="34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c r="AA976" s="160"/>
      <c r="AB976" s="160"/>
      <c r="AC976" s="160"/>
      <c r="AD976" s="160"/>
      <c r="AE976" s="160"/>
      <c r="AF976" s="160"/>
      <c r="AG976" s="160"/>
      <c r="AH976" s="243"/>
      <c r="AM976" s="511" t="s">
        <v>780</v>
      </c>
      <c r="AN976" s="404"/>
    </row>
    <row r="977" spans="1:40" ht="12.75" x14ac:dyDescent="0.2">
      <c r="A977" s="564"/>
      <c r="B977" s="34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c r="AA977" s="160"/>
      <c r="AB977" s="160"/>
      <c r="AC977" s="160"/>
      <c r="AD977" s="160"/>
      <c r="AE977" s="160"/>
      <c r="AF977" s="160"/>
      <c r="AG977" s="160"/>
      <c r="AH977" s="243"/>
      <c r="AM977" s="511" t="s">
        <v>781</v>
      </c>
      <c r="AN977" s="404"/>
    </row>
    <row r="978" spans="1:40" ht="12.75" x14ac:dyDescent="0.2">
      <c r="A978" s="564"/>
      <c r="B978" s="34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c r="AA978" s="160"/>
      <c r="AB978" s="160"/>
      <c r="AC978" s="160"/>
      <c r="AD978" s="160"/>
      <c r="AE978" s="160"/>
      <c r="AF978" s="160"/>
      <c r="AG978" s="160"/>
      <c r="AH978" s="243"/>
      <c r="AM978" s="511" t="s">
        <v>783</v>
      </c>
      <c r="AN978" s="404"/>
    </row>
    <row r="979" spans="1:40" ht="12.75" x14ac:dyDescent="0.2">
      <c r="A979" s="564"/>
      <c r="B979" s="34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c r="AA979" s="160"/>
      <c r="AB979" s="160"/>
      <c r="AC979" s="160"/>
      <c r="AD979" s="160"/>
      <c r="AE979" s="160"/>
      <c r="AF979" s="160"/>
      <c r="AG979" s="160"/>
      <c r="AH979" s="243"/>
      <c r="AM979" s="511" t="s">
        <v>784</v>
      </c>
      <c r="AN979" s="404"/>
    </row>
    <row r="980" spans="1:40" ht="12.75" x14ac:dyDescent="0.2">
      <c r="A980" s="564"/>
      <c r="B980" s="34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c r="AA980" s="160"/>
      <c r="AB980" s="160"/>
      <c r="AC980" s="160"/>
      <c r="AD980" s="160"/>
      <c r="AE980" s="160"/>
      <c r="AF980" s="160"/>
      <c r="AG980" s="160"/>
      <c r="AH980" s="243"/>
      <c r="AM980" s="511" t="s">
        <v>315</v>
      </c>
      <c r="AN980" s="404"/>
    </row>
    <row r="981" spans="1:40" ht="12.75" x14ac:dyDescent="0.2">
      <c r="A981" s="564"/>
      <c r="B981" s="34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c r="AA981" s="160"/>
      <c r="AB981" s="160"/>
      <c r="AC981" s="160"/>
      <c r="AD981" s="160"/>
      <c r="AE981" s="160"/>
      <c r="AF981" s="160"/>
      <c r="AG981" s="160"/>
      <c r="AH981" s="243"/>
      <c r="AM981" s="511" t="s">
        <v>785</v>
      </c>
      <c r="AN981" s="404"/>
    </row>
    <row r="982" spans="1:40" ht="12.75" x14ac:dyDescent="0.2">
      <c r="A982" s="564"/>
      <c r="B982" s="34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c r="AA982" s="160"/>
      <c r="AB982" s="160"/>
      <c r="AC982" s="160"/>
      <c r="AD982" s="160"/>
      <c r="AE982" s="160"/>
      <c r="AF982" s="160"/>
      <c r="AG982" s="160"/>
      <c r="AH982" s="243"/>
      <c r="AM982" s="511" t="s">
        <v>786</v>
      </c>
      <c r="AN982" s="404"/>
    </row>
    <row r="983" spans="1:40" ht="12.75" x14ac:dyDescent="0.2">
      <c r="A983" s="564"/>
      <c r="B983" s="34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c r="AA983" s="160"/>
      <c r="AB983" s="160"/>
      <c r="AC983" s="160"/>
      <c r="AD983" s="160"/>
      <c r="AE983" s="160"/>
      <c r="AF983" s="160"/>
      <c r="AG983" s="160"/>
      <c r="AH983" s="243"/>
      <c r="AM983" s="511" t="s">
        <v>788</v>
      </c>
      <c r="AN983" s="404"/>
    </row>
    <row r="984" spans="1:40" ht="12.75" x14ac:dyDescent="0.2">
      <c r="A984" s="564"/>
      <c r="B984" s="34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c r="AA984" s="160"/>
      <c r="AB984" s="160"/>
      <c r="AC984" s="160"/>
      <c r="AD984" s="160"/>
      <c r="AE984" s="160"/>
      <c r="AF984" s="160"/>
      <c r="AG984" s="160"/>
      <c r="AH984" s="243"/>
      <c r="AM984" s="511" t="s">
        <v>790</v>
      </c>
      <c r="AN984" s="404"/>
    </row>
    <row r="985" spans="1:40" ht="12.75" x14ac:dyDescent="0.2">
      <c r="A985" s="564"/>
      <c r="B985" s="34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c r="AA985" s="160"/>
      <c r="AB985" s="160"/>
      <c r="AC985" s="160"/>
      <c r="AD985" s="160"/>
      <c r="AE985" s="160"/>
      <c r="AF985" s="160"/>
      <c r="AG985" s="160"/>
      <c r="AH985" s="243"/>
      <c r="AM985" s="511" t="s">
        <v>792</v>
      </c>
      <c r="AN985" s="404"/>
    </row>
    <row r="986" spans="1:40" ht="12.75" x14ac:dyDescent="0.2">
      <c r="A986" s="564"/>
      <c r="B986" s="34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c r="AA986" s="160"/>
      <c r="AB986" s="160"/>
      <c r="AC986" s="160"/>
      <c r="AD986" s="160"/>
      <c r="AE986" s="160"/>
      <c r="AF986" s="160"/>
      <c r="AG986" s="160"/>
      <c r="AH986" s="243"/>
      <c r="AM986" s="511" t="s">
        <v>794</v>
      </c>
      <c r="AN986" s="404"/>
    </row>
    <row r="987" spans="1:40" ht="12.75" x14ac:dyDescent="0.2">
      <c r="A987" s="564"/>
      <c r="B987" s="34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c r="AA987" s="160"/>
      <c r="AB987" s="160"/>
      <c r="AC987" s="160"/>
      <c r="AD987" s="160"/>
      <c r="AE987" s="160"/>
      <c r="AF987" s="160"/>
      <c r="AG987" s="160"/>
      <c r="AH987" s="243"/>
      <c r="AM987" s="511" t="s">
        <v>796</v>
      </c>
      <c r="AN987" s="404"/>
    </row>
    <row r="988" spans="1:40" ht="12.75" x14ac:dyDescent="0.2">
      <c r="A988" s="564"/>
      <c r="B988" s="34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c r="AA988" s="160"/>
      <c r="AB988" s="160"/>
      <c r="AC988" s="160"/>
      <c r="AD988" s="160"/>
      <c r="AE988" s="160"/>
      <c r="AF988" s="160"/>
      <c r="AG988" s="160"/>
      <c r="AH988" s="243"/>
      <c r="AM988" s="511" t="s">
        <v>798</v>
      </c>
      <c r="AN988" s="404"/>
    </row>
    <row r="989" spans="1:40" ht="12.75" x14ac:dyDescent="0.2">
      <c r="A989" s="564"/>
      <c r="B989" s="34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c r="AA989" s="160"/>
      <c r="AB989" s="160"/>
      <c r="AC989" s="160"/>
      <c r="AD989" s="160"/>
      <c r="AE989" s="160"/>
      <c r="AF989" s="160"/>
      <c r="AG989" s="160"/>
      <c r="AH989" s="243"/>
      <c r="AM989" s="511" t="s">
        <v>800</v>
      </c>
      <c r="AN989" s="404"/>
    </row>
    <row r="990" spans="1:40" ht="12.75" x14ac:dyDescent="0.2">
      <c r="A990" s="564"/>
      <c r="B990" s="34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c r="AA990" s="160"/>
      <c r="AB990" s="160"/>
      <c r="AC990" s="160"/>
      <c r="AD990" s="160"/>
      <c r="AE990" s="160"/>
      <c r="AF990" s="160"/>
      <c r="AG990" s="160"/>
      <c r="AH990" s="243"/>
      <c r="AM990" s="511" t="s">
        <v>802</v>
      </c>
      <c r="AN990" s="404"/>
    </row>
    <row r="991" spans="1:40" ht="12.75" x14ac:dyDescent="0.2">
      <c r="A991" s="564"/>
      <c r="B991" s="34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c r="AA991" s="160"/>
      <c r="AB991" s="160"/>
      <c r="AC991" s="160"/>
      <c r="AD991" s="160"/>
      <c r="AE991" s="160"/>
      <c r="AF991" s="160"/>
      <c r="AG991" s="160"/>
      <c r="AH991" s="243"/>
      <c r="AM991" s="511" t="s">
        <v>803</v>
      </c>
      <c r="AN991" s="404"/>
    </row>
    <row r="992" spans="1:40" ht="12.75" x14ac:dyDescent="0.2">
      <c r="A992" s="564"/>
      <c r="B992" s="34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c r="AA992" s="160"/>
      <c r="AB992" s="160"/>
      <c r="AC992" s="160"/>
      <c r="AD992" s="160"/>
      <c r="AE992" s="160"/>
      <c r="AF992" s="160"/>
      <c r="AG992" s="160"/>
      <c r="AH992" s="243"/>
      <c r="AM992" s="511" t="s">
        <v>806</v>
      </c>
      <c r="AN992" s="404"/>
    </row>
    <row r="993" spans="1:40" ht="12.75" x14ac:dyDescent="0.2">
      <c r="A993" s="564"/>
      <c r="B993" s="34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c r="AA993" s="160"/>
      <c r="AB993" s="160"/>
      <c r="AC993" s="160"/>
      <c r="AD993" s="160"/>
      <c r="AE993" s="160"/>
      <c r="AF993" s="160"/>
      <c r="AG993" s="160"/>
      <c r="AH993" s="243"/>
      <c r="AM993" s="511" t="s">
        <v>805</v>
      </c>
      <c r="AN993" s="404"/>
    </row>
    <row r="994" spans="1:40" ht="12.75" x14ac:dyDescent="0.2">
      <c r="A994" s="564"/>
      <c r="B994" s="34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c r="AA994" s="160"/>
      <c r="AB994" s="160"/>
      <c r="AC994" s="160"/>
      <c r="AD994" s="160"/>
      <c r="AE994" s="160"/>
      <c r="AF994" s="160"/>
      <c r="AG994" s="160"/>
      <c r="AH994" s="243"/>
      <c r="AM994" s="511" t="s">
        <v>806</v>
      </c>
      <c r="AN994" s="404"/>
    </row>
    <row r="995" spans="1:40" ht="12.75" x14ac:dyDescent="0.2">
      <c r="A995" s="564"/>
      <c r="B995" s="34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c r="AA995" s="160"/>
      <c r="AB995" s="160"/>
      <c r="AC995" s="160"/>
      <c r="AD995" s="160"/>
      <c r="AE995" s="160"/>
      <c r="AF995" s="160"/>
      <c r="AG995" s="160"/>
      <c r="AH995" s="243"/>
      <c r="AM995" s="511" t="s">
        <v>808</v>
      </c>
      <c r="AN995" s="404"/>
    </row>
    <row r="996" spans="1:40" ht="12.75" x14ac:dyDescent="0.2">
      <c r="A996" s="564"/>
      <c r="B996" s="34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c r="AA996" s="160"/>
      <c r="AB996" s="160"/>
      <c r="AC996" s="160"/>
      <c r="AD996" s="160"/>
      <c r="AE996" s="160"/>
      <c r="AF996" s="160"/>
      <c r="AG996" s="160"/>
      <c r="AH996" s="243"/>
      <c r="AM996" s="511" t="s">
        <v>809</v>
      </c>
      <c r="AN996" s="404"/>
    </row>
    <row r="997" spans="1:40" ht="12.75" x14ac:dyDescent="0.2">
      <c r="A997" s="564"/>
      <c r="B997" s="34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c r="AA997" s="160"/>
      <c r="AB997" s="160"/>
      <c r="AC997" s="160"/>
      <c r="AD997" s="160"/>
      <c r="AE997" s="160"/>
      <c r="AF997" s="160"/>
      <c r="AG997" s="160"/>
      <c r="AH997" s="243"/>
      <c r="AM997" s="511" t="s">
        <v>810</v>
      </c>
      <c r="AN997" s="404"/>
    </row>
    <row r="998" spans="1:40" ht="12.75" x14ac:dyDescent="0.2">
      <c r="A998" s="564"/>
      <c r="B998" s="34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c r="AA998" s="160"/>
      <c r="AB998" s="160"/>
      <c r="AC998" s="160"/>
      <c r="AD998" s="160"/>
      <c r="AE998" s="160"/>
      <c r="AF998" s="160"/>
      <c r="AG998" s="160"/>
      <c r="AH998" s="243"/>
      <c r="AM998" s="511" t="s">
        <v>811</v>
      </c>
      <c r="AN998" s="404"/>
    </row>
    <row r="999" spans="1:40" ht="12.75" x14ac:dyDescent="0.2">
      <c r="A999" s="564"/>
      <c r="B999" s="34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c r="AA999" s="160"/>
      <c r="AB999" s="160"/>
      <c r="AC999" s="160"/>
      <c r="AD999" s="160"/>
      <c r="AE999" s="160"/>
      <c r="AF999" s="160"/>
      <c r="AG999" s="160"/>
      <c r="AH999" s="243"/>
      <c r="AM999" s="511" t="s">
        <v>812</v>
      </c>
      <c r="AN999" s="404"/>
    </row>
    <row r="1000" spans="1:40" ht="12.75" x14ac:dyDescent="0.2">
      <c r="A1000" s="564"/>
      <c r="B1000" s="340"/>
      <c r="C1000" s="160"/>
      <c r="D1000" s="160"/>
      <c r="E1000" s="160"/>
      <c r="F1000" s="160"/>
      <c r="G1000" s="160"/>
      <c r="H1000" s="160"/>
      <c r="I1000" s="160"/>
      <c r="J1000" s="160"/>
      <c r="K1000" s="160"/>
      <c r="L1000" s="160"/>
      <c r="M1000" s="160"/>
      <c r="N1000" s="160"/>
      <c r="O1000" s="160"/>
      <c r="P1000" s="160"/>
      <c r="Q1000" s="160"/>
      <c r="R1000" s="160"/>
      <c r="S1000" s="160"/>
      <c r="T1000" s="160"/>
      <c r="U1000" s="160"/>
      <c r="V1000" s="160"/>
      <c r="W1000" s="160"/>
      <c r="X1000" s="160"/>
      <c r="Y1000" s="160"/>
      <c r="Z1000" s="160"/>
      <c r="AA1000" s="160"/>
      <c r="AB1000" s="160"/>
      <c r="AC1000" s="160"/>
      <c r="AD1000" s="160"/>
      <c r="AE1000" s="160"/>
      <c r="AF1000" s="160"/>
      <c r="AG1000" s="160"/>
      <c r="AH1000" s="243"/>
      <c r="AM1000" s="511" t="s">
        <v>813</v>
      </c>
      <c r="AN1000" s="404"/>
    </row>
    <row r="1001" spans="1:40" ht="12.75" x14ac:dyDescent="0.2">
      <c r="A1001" s="564"/>
      <c r="B1001" s="340"/>
      <c r="C1001" s="160"/>
      <c r="D1001" s="160"/>
      <c r="E1001" s="160"/>
      <c r="F1001" s="160"/>
      <c r="G1001" s="160"/>
      <c r="H1001" s="160"/>
      <c r="I1001" s="160"/>
      <c r="J1001" s="160"/>
      <c r="K1001" s="160"/>
      <c r="L1001" s="160"/>
      <c r="M1001" s="160"/>
      <c r="N1001" s="160"/>
      <c r="O1001" s="160"/>
      <c r="P1001" s="160"/>
      <c r="Q1001" s="160"/>
      <c r="R1001" s="160"/>
      <c r="S1001" s="160"/>
      <c r="T1001" s="160"/>
      <c r="U1001" s="160"/>
      <c r="V1001" s="160"/>
      <c r="W1001" s="160"/>
      <c r="X1001" s="160"/>
      <c r="Y1001" s="160"/>
      <c r="Z1001" s="160"/>
      <c r="AA1001" s="160"/>
      <c r="AB1001" s="160"/>
      <c r="AC1001" s="160"/>
      <c r="AD1001" s="160"/>
      <c r="AE1001" s="160"/>
      <c r="AF1001" s="160"/>
      <c r="AG1001" s="160"/>
      <c r="AH1001" s="243"/>
      <c r="AM1001" s="511" t="s">
        <v>814</v>
      </c>
      <c r="AN1001" s="404"/>
    </row>
    <row r="1002" spans="1:40" ht="12.75" x14ac:dyDescent="0.2">
      <c r="A1002" s="564"/>
      <c r="B1002" s="340"/>
      <c r="C1002" s="160"/>
      <c r="D1002" s="160"/>
      <c r="E1002" s="160"/>
      <c r="F1002" s="160"/>
      <c r="G1002" s="160"/>
      <c r="H1002" s="160"/>
      <c r="I1002" s="160"/>
      <c r="J1002" s="160"/>
      <c r="K1002" s="160"/>
      <c r="L1002" s="160"/>
      <c r="M1002" s="160"/>
      <c r="N1002" s="160"/>
      <c r="O1002" s="160"/>
      <c r="P1002" s="160"/>
      <c r="Q1002" s="160"/>
      <c r="R1002" s="160"/>
      <c r="S1002" s="160"/>
      <c r="T1002" s="160"/>
      <c r="U1002" s="160"/>
      <c r="V1002" s="160"/>
      <c r="W1002" s="160"/>
      <c r="X1002" s="160"/>
      <c r="Y1002" s="160"/>
      <c r="Z1002" s="160"/>
      <c r="AA1002" s="160"/>
      <c r="AB1002" s="160"/>
      <c r="AC1002" s="160"/>
      <c r="AD1002" s="160"/>
      <c r="AE1002" s="160"/>
      <c r="AF1002" s="160"/>
      <c r="AG1002" s="160"/>
      <c r="AH1002" s="243"/>
      <c r="AM1002" s="511" t="s">
        <v>815</v>
      </c>
      <c r="AN1002" s="404"/>
    </row>
    <row r="1003" spans="1:40" ht="12.75" x14ac:dyDescent="0.2">
      <c r="A1003" s="564"/>
      <c r="B1003" s="340"/>
      <c r="C1003" s="160"/>
      <c r="D1003" s="160"/>
      <c r="E1003" s="160"/>
      <c r="F1003" s="160"/>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243"/>
      <c r="AM1003" s="511" t="s">
        <v>76</v>
      </c>
      <c r="AN1003" s="404"/>
    </row>
    <row r="1004" spans="1:40" ht="12.75" x14ac:dyDescent="0.2">
      <c r="A1004" s="564"/>
      <c r="B1004" s="340"/>
      <c r="C1004" s="160"/>
      <c r="D1004" s="160"/>
      <c r="E1004" s="160"/>
      <c r="F1004" s="160"/>
      <c r="G1004" s="160"/>
      <c r="H1004" s="160"/>
      <c r="I1004" s="160"/>
      <c r="J1004" s="160"/>
      <c r="K1004" s="160"/>
      <c r="L1004" s="160"/>
      <c r="M1004" s="160"/>
      <c r="N1004" s="160"/>
      <c r="O1004" s="160"/>
      <c r="P1004" s="160"/>
      <c r="Q1004" s="160"/>
      <c r="R1004" s="160"/>
      <c r="S1004" s="160"/>
      <c r="T1004" s="160"/>
      <c r="U1004" s="160"/>
      <c r="V1004" s="160"/>
      <c r="W1004" s="160"/>
      <c r="X1004" s="160"/>
      <c r="Y1004" s="160"/>
      <c r="Z1004" s="160"/>
      <c r="AA1004" s="160"/>
      <c r="AB1004" s="160"/>
      <c r="AC1004" s="160"/>
      <c r="AD1004" s="160"/>
      <c r="AE1004" s="160"/>
      <c r="AF1004" s="160"/>
      <c r="AG1004" s="160"/>
      <c r="AH1004" s="243"/>
      <c r="AM1004" s="511" t="s">
        <v>816</v>
      </c>
      <c r="AN1004" s="404"/>
    </row>
    <row r="1005" spans="1:40" ht="12.75" x14ac:dyDescent="0.2">
      <c r="A1005" s="564"/>
      <c r="B1005" s="340"/>
      <c r="C1005" s="160"/>
      <c r="D1005" s="160"/>
      <c r="E1005" s="160"/>
      <c r="F1005" s="160"/>
      <c r="G1005" s="160"/>
      <c r="H1005" s="160"/>
      <c r="I1005" s="160"/>
      <c r="J1005" s="160"/>
      <c r="K1005" s="160"/>
      <c r="L1005" s="160"/>
      <c r="M1005" s="160"/>
      <c r="N1005" s="160"/>
      <c r="O1005" s="160"/>
      <c r="P1005" s="160"/>
      <c r="Q1005" s="160"/>
      <c r="R1005" s="160"/>
      <c r="S1005" s="160"/>
      <c r="T1005" s="160"/>
      <c r="U1005" s="160"/>
      <c r="V1005" s="160"/>
      <c r="W1005" s="160"/>
      <c r="X1005" s="160"/>
      <c r="Y1005" s="160"/>
      <c r="Z1005" s="160"/>
      <c r="AA1005" s="160"/>
      <c r="AB1005" s="160"/>
      <c r="AC1005" s="160"/>
      <c r="AD1005" s="160"/>
      <c r="AE1005" s="160"/>
      <c r="AF1005" s="160"/>
      <c r="AG1005" s="160"/>
      <c r="AH1005" s="243"/>
      <c r="AM1005" s="511" t="s">
        <v>817</v>
      </c>
      <c r="AN1005" s="404"/>
    </row>
    <row r="1006" spans="1:40" ht="12.75" x14ac:dyDescent="0.2">
      <c r="A1006" s="564"/>
      <c r="B1006" s="340"/>
      <c r="AH1006" s="243"/>
      <c r="AM1006" s="511" t="s">
        <v>818</v>
      </c>
      <c r="AN1006" s="404"/>
    </row>
    <row r="1007" spans="1:40" ht="12.75" x14ac:dyDescent="0.2">
      <c r="A1007" s="564"/>
      <c r="B1007" s="340"/>
      <c r="AH1007" s="243"/>
      <c r="AM1007" s="511" t="s">
        <v>819</v>
      </c>
      <c r="AN1007" s="404"/>
    </row>
    <row r="1008" spans="1:40" ht="12.75" x14ac:dyDescent="0.2">
      <c r="A1008" s="564"/>
      <c r="B1008" s="340"/>
      <c r="AH1008" s="243"/>
      <c r="AM1008" s="511" t="s">
        <v>820</v>
      </c>
      <c r="AN1008" s="404"/>
    </row>
    <row r="1009" spans="1:40" ht="12.75" x14ac:dyDescent="0.2">
      <c r="A1009" s="564"/>
      <c r="B1009" s="340"/>
      <c r="AH1009" s="243"/>
      <c r="AM1009" s="511" t="s">
        <v>821</v>
      </c>
      <c r="AN1009" s="404"/>
    </row>
    <row r="1010" spans="1:40" ht="12.75" x14ac:dyDescent="0.2">
      <c r="A1010" s="564"/>
      <c r="B1010" s="340"/>
      <c r="AH1010" s="243"/>
      <c r="AM1010" s="511" t="s">
        <v>822</v>
      </c>
      <c r="AN1010" s="404"/>
    </row>
    <row r="1011" spans="1:40" ht="12.75" x14ac:dyDescent="0.2">
      <c r="A1011" s="564"/>
      <c r="B1011" s="340"/>
      <c r="AH1011" s="243"/>
      <c r="AM1011" s="511" t="s">
        <v>823</v>
      </c>
      <c r="AN1011" s="404"/>
    </row>
    <row r="1012" spans="1:40" ht="12.75" x14ac:dyDescent="0.2">
      <c r="A1012" s="564"/>
      <c r="B1012" s="340"/>
      <c r="AH1012" s="243"/>
      <c r="AM1012" s="511" t="s">
        <v>824</v>
      </c>
      <c r="AN1012" s="404"/>
    </row>
    <row r="1013" spans="1:40" ht="12.75" x14ac:dyDescent="0.2">
      <c r="A1013" s="564"/>
      <c r="B1013" s="340"/>
      <c r="AH1013" s="243"/>
      <c r="AM1013" s="511" t="s">
        <v>825</v>
      </c>
      <c r="AN1013" s="404"/>
    </row>
    <row r="1014" spans="1:40" ht="12.75" x14ac:dyDescent="0.2">
      <c r="A1014" s="564"/>
      <c r="B1014" s="340"/>
      <c r="AH1014" s="243"/>
      <c r="AM1014" s="511" t="s">
        <v>826</v>
      </c>
      <c r="AN1014" s="404"/>
    </row>
    <row r="1015" spans="1:40" ht="12.75" x14ac:dyDescent="0.2">
      <c r="A1015" s="564"/>
      <c r="B1015" s="340"/>
      <c r="AH1015" s="243"/>
      <c r="AM1015" s="511" t="s">
        <v>827</v>
      </c>
      <c r="AN1015" s="404"/>
    </row>
    <row r="1016" spans="1:40" ht="12.75" x14ac:dyDescent="0.2">
      <c r="A1016" s="564"/>
      <c r="B1016" s="340"/>
      <c r="AH1016" s="243"/>
      <c r="AM1016" s="511" t="s">
        <v>828</v>
      </c>
      <c r="AN1016" s="404"/>
    </row>
    <row r="1017" spans="1:40" ht="12.75" x14ac:dyDescent="0.2">
      <c r="A1017" s="564"/>
      <c r="B1017" s="340"/>
      <c r="AH1017" s="243"/>
      <c r="AM1017" s="511" t="s">
        <v>829</v>
      </c>
      <c r="AN1017" s="404"/>
    </row>
    <row r="1018" spans="1:40" ht="12.75" x14ac:dyDescent="0.2">
      <c r="A1018" s="564"/>
      <c r="B1018" s="340"/>
      <c r="AH1018" s="243"/>
      <c r="AM1018" s="511" t="s">
        <v>830</v>
      </c>
      <c r="AN1018" s="404"/>
    </row>
    <row r="1019" spans="1:40" ht="12.75" x14ac:dyDescent="0.2">
      <c r="A1019" s="564"/>
      <c r="B1019" s="340"/>
      <c r="AH1019" s="243"/>
      <c r="AM1019" s="511" t="s">
        <v>831</v>
      </c>
      <c r="AN1019" s="404"/>
    </row>
    <row r="1020" spans="1:40" ht="12.75" x14ac:dyDescent="0.2">
      <c r="A1020" s="564"/>
      <c r="B1020" s="340"/>
      <c r="AH1020" s="243"/>
      <c r="AM1020" s="511" t="s">
        <v>832</v>
      </c>
      <c r="AN1020" s="404"/>
    </row>
    <row r="1021" spans="1:40" ht="12.75" x14ac:dyDescent="0.2">
      <c r="A1021" s="564"/>
      <c r="B1021" s="340"/>
      <c r="AH1021" s="243"/>
      <c r="AM1021" s="511" t="s">
        <v>833</v>
      </c>
      <c r="AN1021" s="404"/>
    </row>
    <row r="1022" spans="1:40" ht="12.75" x14ac:dyDescent="0.2">
      <c r="A1022" s="564"/>
      <c r="B1022" s="340"/>
      <c r="AH1022" s="243"/>
      <c r="AM1022" s="511" t="s">
        <v>834</v>
      </c>
      <c r="AN1022" s="404"/>
    </row>
    <row r="1023" spans="1:40" ht="12.75" x14ac:dyDescent="0.2">
      <c r="A1023" s="564"/>
      <c r="B1023" s="340"/>
      <c r="AH1023" s="243"/>
      <c r="AM1023" s="511" t="s">
        <v>835</v>
      </c>
      <c r="AN1023" s="404"/>
    </row>
    <row r="1024" spans="1:40" ht="12.75" x14ac:dyDescent="0.2">
      <c r="A1024" s="564"/>
      <c r="B1024" s="340"/>
      <c r="AH1024" s="243"/>
      <c r="AM1024" s="511" t="s">
        <v>836</v>
      </c>
      <c r="AN1024" s="404"/>
    </row>
    <row r="1025" spans="1:40" ht="12.75" x14ac:dyDescent="0.2">
      <c r="A1025" s="564"/>
      <c r="B1025" s="340"/>
      <c r="AH1025" s="243"/>
      <c r="AM1025" s="511" t="s">
        <v>837</v>
      </c>
      <c r="AN1025" s="404"/>
    </row>
    <row r="1026" spans="1:40" ht="12.75" x14ac:dyDescent="0.2">
      <c r="A1026" s="564"/>
      <c r="B1026" s="340"/>
      <c r="AH1026" s="243"/>
      <c r="AM1026" s="511" t="s">
        <v>838</v>
      </c>
      <c r="AN1026" s="404"/>
    </row>
    <row r="1027" spans="1:40" ht="12.75" x14ac:dyDescent="0.2">
      <c r="A1027" s="564"/>
      <c r="B1027" s="340"/>
      <c r="AH1027" s="243"/>
      <c r="AM1027" s="511" t="s">
        <v>839</v>
      </c>
      <c r="AN1027" s="404"/>
    </row>
    <row r="1028" spans="1:40" ht="12.75" x14ac:dyDescent="0.2">
      <c r="A1028" s="564"/>
      <c r="B1028" s="340"/>
      <c r="AH1028" s="243"/>
      <c r="AM1028" s="511" t="s">
        <v>840</v>
      </c>
      <c r="AN1028" s="404"/>
    </row>
    <row r="1029" spans="1:40" ht="12.75" x14ac:dyDescent="0.2">
      <c r="A1029" s="564"/>
      <c r="B1029" s="340"/>
      <c r="AH1029" s="243"/>
      <c r="AM1029" s="511" t="s">
        <v>841</v>
      </c>
      <c r="AN1029" s="404"/>
    </row>
    <row r="1030" spans="1:40" ht="12.75" x14ac:dyDescent="0.2">
      <c r="A1030" s="564"/>
      <c r="B1030" s="340"/>
      <c r="AH1030" s="243"/>
      <c r="AM1030" s="511" t="s">
        <v>842</v>
      </c>
      <c r="AN1030" s="404"/>
    </row>
    <row r="1031" spans="1:40" ht="12.75" x14ac:dyDescent="0.2">
      <c r="A1031" s="564"/>
      <c r="B1031" s="340"/>
      <c r="AH1031" s="243"/>
      <c r="AM1031" s="511" t="s">
        <v>844</v>
      </c>
      <c r="AN1031" s="404"/>
    </row>
    <row r="1032" spans="1:40" ht="12.75" x14ac:dyDescent="0.2">
      <c r="A1032" s="564"/>
      <c r="B1032" s="340"/>
      <c r="AH1032" s="243"/>
      <c r="AM1032" s="511" t="s">
        <v>845</v>
      </c>
      <c r="AN1032" s="404"/>
    </row>
    <row r="1033" spans="1:40" ht="12.75" x14ac:dyDescent="0.2">
      <c r="A1033" s="564"/>
      <c r="B1033" s="340"/>
      <c r="AH1033" s="243"/>
      <c r="AM1033" s="511" t="s">
        <v>846</v>
      </c>
      <c r="AN1033" s="404"/>
    </row>
    <row r="1034" spans="1:40" ht="12.75" x14ac:dyDescent="0.2">
      <c r="A1034" s="564"/>
      <c r="B1034" s="340"/>
      <c r="AH1034" s="243"/>
      <c r="AM1034" s="511" t="s">
        <v>847</v>
      </c>
      <c r="AN1034" s="404"/>
    </row>
    <row r="1035" spans="1:40" ht="12.75" x14ac:dyDescent="0.2">
      <c r="A1035" s="564"/>
      <c r="B1035" s="340"/>
      <c r="AH1035" s="243"/>
      <c r="AM1035" s="511" t="s">
        <v>848</v>
      </c>
      <c r="AN1035" s="404"/>
    </row>
    <row r="1036" spans="1:40" ht="12.75" x14ac:dyDescent="0.2">
      <c r="A1036" s="564"/>
      <c r="B1036" s="340"/>
      <c r="AH1036" s="243"/>
      <c r="AM1036" s="511" t="s">
        <v>849</v>
      </c>
      <c r="AN1036" s="404"/>
    </row>
    <row r="1037" spans="1:40" ht="12.75" x14ac:dyDescent="0.2">
      <c r="A1037" s="564"/>
      <c r="B1037" s="340"/>
      <c r="AH1037" s="243"/>
      <c r="AM1037" s="511" t="s">
        <v>850</v>
      </c>
      <c r="AN1037" s="404"/>
    </row>
    <row r="1038" spans="1:40" ht="12.75" x14ac:dyDescent="0.2">
      <c r="A1038" s="564"/>
      <c r="B1038" s="340"/>
      <c r="AH1038" s="243"/>
      <c r="AM1038" s="511" t="s">
        <v>851</v>
      </c>
      <c r="AN1038" s="404"/>
    </row>
    <row r="1039" spans="1:40" ht="12.75" x14ac:dyDescent="0.2">
      <c r="A1039" s="564"/>
      <c r="B1039" s="340"/>
      <c r="AH1039" s="243"/>
      <c r="AM1039" s="511" t="s">
        <v>852</v>
      </c>
      <c r="AN1039" s="404"/>
    </row>
    <row r="1040" spans="1:40" ht="12.75" x14ac:dyDescent="0.2">
      <c r="A1040" s="564"/>
      <c r="B1040" s="340"/>
      <c r="AH1040" s="243"/>
      <c r="AM1040" s="511" t="s">
        <v>853</v>
      </c>
      <c r="AN1040" s="404"/>
    </row>
    <row r="1041" spans="1:40" ht="12.75" x14ac:dyDescent="0.2">
      <c r="A1041" s="564"/>
      <c r="B1041" s="340"/>
      <c r="AH1041" s="243"/>
      <c r="AM1041" s="511" t="s">
        <v>855</v>
      </c>
      <c r="AN1041" s="404"/>
    </row>
    <row r="1042" spans="1:40" ht="12.75" x14ac:dyDescent="0.2">
      <c r="A1042" s="564"/>
      <c r="B1042" s="340"/>
      <c r="AH1042" s="243"/>
      <c r="AM1042" s="511" t="s">
        <v>857</v>
      </c>
      <c r="AN1042" s="404"/>
    </row>
    <row r="1043" spans="1:40" ht="12.75" x14ac:dyDescent="0.2">
      <c r="A1043" s="564"/>
      <c r="B1043" s="340"/>
      <c r="AH1043" s="243"/>
      <c r="AM1043" s="511" t="s">
        <v>858</v>
      </c>
      <c r="AN1043" s="404"/>
    </row>
    <row r="1044" spans="1:40" ht="12.75" x14ac:dyDescent="0.2">
      <c r="A1044" s="564"/>
      <c r="B1044" s="340"/>
      <c r="AH1044" s="243"/>
      <c r="AM1044" s="511" t="s">
        <v>861</v>
      </c>
      <c r="AN1044" s="404"/>
    </row>
    <row r="1045" spans="1:40" ht="12.75" x14ac:dyDescent="0.2">
      <c r="A1045" s="564"/>
      <c r="B1045" s="340"/>
      <c r="AH1045" s="243"/>
      <c r="AM1045" s="511" t="s">
        <v>519</v>
      </c>
      <c r="AN1045" s="404"/>
    </row>
    <row r="1046" spans="1:40" ht="12.75" x14ac:dyDescent="0.2">
      <c r="A1046" s="564"/>
      <c r="B1046" s="340"/>
      <c r="AH1046" s="243"/>
      <c r="AM1046" s="511" t="s">
        <v>864</v>
      </c>
      <c r="AN1046" s="404"/>
    </row>
    <row r="1047" spans="1:40" ht="12.75" x14ac:dyDescent="0.2">
      <c r="A1047" s="564"/>
      <c r="B1047" s="340"/>
      <c r="AH1047" s="243"/>
      <c r="AM1047" s="511" t="s">
        <v>866</v>
      </c>
      <c r="AN1047" s="404"/>
    </row>
    <row r="1048" spans="1:40" ht="12.75" x14ac:dyDescent="0.2">
      <c r="A1048" s="564"/>
      <c r="B1048" s="340"/>
      <c r="AH1048" s="243"/>
      <c r="AM1048" s="511" t="s">
        <v>868</v>
      </c>
      <c r="AN1048" s="404"/>
    </row>
    <row r="1049" spans="1:40" ht="12.75" x14ac:dyDescent="0.2">
      <c r="A1049" s="564"/>
      <c r="B1049" s="340"/>
      <c r="AH1049" s="243"/>
      <c r="AM1049" s="511" t="s">
        <v>869</v>
      </c>
      <c r="AN1049" s="404"/>
    </row>
    <row r="1050" spans="1:40" ht="12.75" x14ac:dyDescent="0.2">
      <c r="A1050" s="564"/>
      <c r="B1050" s="340"/>
      <c r="AH1050" s="243"/>
      <c r="AM1050" s="511" t="s">
        <v>871</v>
      </c>
      <c r="AN1050" s="404"/>
    </row>
    <row r="1051" spans="1:40" ht="12.75" x14ac:dyDescent="0.2">
      <c r="A1051" s="564"/>
      <c r="B1051" s="340"/>
      <c r="AH1051" s="243"/>
      <c r="AM1051" s="511" t="s">
        <v>873</v>
      </c>
      <c r="AN1051" s="404"/>
    </row>
    <row r="1052" spans="1:40" ht="12.75" x14ac:dyDescent="0.2">
      <c r="A1052" s="564"/>
      <c r="B1052" s="340"/>
      <c r="AH1052" s="243"/>
      <c r="AM1052" s="511" t="s">
        <v>875</v>
      </c>
      <c r="AN1052" s="404"/>
    </row>
    <row r="1053" spans="1:40" ht="12.75" x14ac:dyDescent="0.2">
      <c r="A1053" s="564"/>
      <c r="B1053" s="340"/>
      <c r="AH1053" s="243"/>
      <c r="AM1053" s="511" t="s">
        <v>877</v>
      </c>
      <c r="AN1053" s="404"/>
    </row>
    <row r="1054" spans="1:40" ht="12.75" x14ac:dyDescent="0.2">
      <c r="A1054" s="564"/>
      <c r="B1054" s="340"/>
      <c r="AH1054" s="243"/>
      <c r="AM1054" s="511" t="s">
        <v>892</v>
      </c>
      <c r="AN1054" s="404"/>
    </row>
    <row r="1055" spans="1:40" ht="12.75" x14ac:dyDescent="0.2">
      <c r="A1055" s="564"/>
      <c r="B1055" s="340"/>
      <c r="AH1055" s="243"/>
      <c r="AM1055" s="511" t="s">
        <v>894</v>
      </c>
      <c r="AN1055" s="404"/>
    </row>
    <row r="1056" spans="1:40" ht="12.75" x14ac:dyDescent="0.2">
      <c r="A1056" s="564"/>
      <c r="B1056" s="340"/>
      <c r="AH1056" s="243"/>
      <c r="AM1056" s="511" t="s">
        <v>915</v>
      </c>
      <c r="AN1056" s="404"/>
    </row>
    <row r="1057" spans="1:40" ht="12.75" x14ac:dyDescent="0.2">
      <c r="A1057" s="564"/>
      <c r="B1057" s="340"/>
      <c r="AH1057" s="243"/>
      <c r="AM1057" s="511" t="s">
        <v>917</v>
      </c>
      <c r="AN1057" s="404"/>
    </row>
    <row r="1058" spans="1:40" ht="12.75" x14ac:dyDescent="0.2">
      <c r="A1058" s="564"/>
      <c r="B1058" s="340"/>
      <c r="AH1058" s="243"/>
      <c r="AM1058" s="511" t="s">
        <v>919</v>
      </c>
      <c r="AN1058" s="404"/>
    </row>
    <row r="1059" spans="1:40" ht="12.75" x14ac:dyDescent="0.2">
      <c r="A1059" s="564"/>
      <c r="B1059" s="340"/>
      <c r="AH1059" s="243"/>
      <c r="AM1059" s="511" t="s">
        <v>921</v>
      </c>
      <c r="AN1059" s="404"/>
    </row>
    <row r="1060" spans="1:40" ht="12.75" x14ac:dyDescent="0.2">
      <c r="A1060" s="564"/>
      <c r="B1060" s="340"/>
      <c r="AH1060" s="243"/>
      <c r="AM1060" s="511" t="s">
        <v>923</v>
      </c>
      <c r="AN1060" s="404"/>
    </row>
    <row r="1061" spans="1:40" ht="12.75" x14ac:dyDescent="0.2">
      <c r="A1061" s="564"/>
      <c r="B1061" s="340"/>
      <c r="AH1061" s="243"/>
      <c r="AM1061" s="511" t="s">
        <v>924</v>
      </c>
      <c r="AN1061" s="404"/>
    </row>
    <row r="1062" spans="1:40" ht="12.75" x14ac:dyDescent="0.2">
      <c r="A1062" s="564"/>
      <c r="B1062" s="340"/>
      <c r="AH1062" s="243"/>
      <c r="AM1062" s="511" t="s">
        <v>927</v>
      </c>
      <c r="AN1062" s="404"/>
    </row>
    <row r="1063" spans="1:40" ht="12.75" x14ac:dyDescent="0.2">
      <c r="A1063" s="564"/>
      <c r="B1063" s="340"/>
      <c r="AH1063" s="243"/>
      <c r="AM1063" s="511" t="s">
        <v>928</v>
      </c>
      <c r="AN1063" s="404"/>
    </row>
    <row r="1064" spans="1:40" ht="12.75" x14ac:dyDescent="0.2">
      <c r="A1064" s="564"/>
      <c r="B1064" s="340"/>
      <c r="AH1064" s="243"/>
      <c r="AM1064" s="511" t="s">
        <v>929</v>
      </c>
      <c r="AN1064" s="404"/>
    </row>
    <row r="1065" spans="1:40" ht="12.75" x14ac:dyDescent="0.2">
      <c r="A1065" s="564"/>
      <c r="B1065" s="340"/>
      <c r="AH1065" s="243"/>
      <c r="AM1065" s="511" t="s">
        <v>930</v>
      </c>
      <c r="AN1065" s="404"/>
    </row>
    <row r="1066" spans="1:40" ht="12.75" x14ac:dyDescent="0.2">
      <c r="A1066" s="564"/>
      <c r="B1066" s="340"/>
      <c r="AH1066" s="243"/>
      <c r="AM1066" s="511" t="s">
        <v>934</v>
      </c>
      <c r="AN1066" s="404"/>
    </row>
    <row r="1067" spans="1:40" ht="12.75" x14ac:dyDescent="0.2">
      <c r="A1067" s="564"/>
      <c r="B1067" s="340"/>
      <c r="AH1067" s="243"/>
      <c r="AM1067" s="511" t="s">
        <v>935</v>
      </c>
      <c r="AN1067" s="404"/>
    </row>
    <row r="1068" spans="1:40" ht="12.75" x14ac:dyDescent="0.2">
      <c r="A1068" s="564"/>
      <c r="B1068" s="340"/>
      <c r="AH1068" s="243"/>
      <c r="AM1068" s="511" t="s">
        <v>936</v>
      </c>
      <c r="AN1068" s="404"/>
    </row>
    <row r="1069" spans="1:40" ht="12.75" x14ac:dyDescent="0.2">
      <c r="A1069" s="564"/>
      <c r="B1069" s="340"/>
      <c r="AH1069" s="243"/>
      <c r="AM1069" s="511" t="s">
        <v>937</v>
      </c>
      <c r="AN1069" s="404"/>
    </row>
    <row r="1070" spans="1:40" ht="12.75" x14ac:dyDescent="0.2">
      <c r="A1070" s="564"/>
      <c r="B1070" s="340"/>
      <c r="AH1070" s="243"/>
      <c r="AM1070" s="511" t="s">
        <v>938</v>
      </c>
      <c r="AN1070" s="404"/>
    </row>
    <row r="1071" spans="1:40" ht="12.75" x14ac:dyDescent="0.2">
      <c r="A1071" s="564"/>
      <c r="B1071" s="340"/>
      <c r="AH1071" s="243"/>
      <c r="AM1071" s="511" t="s">
        <v>611</v>
      </c>
      <c r="AN1071" s="404"/>
    </row>
    <row r="1072" spans="1:40" ht="12.75" x14ac:dyDescent="0.2">
      <c r="A1072" s="564"/>
      <c r="B1072" s="340"/>
      <c r="AH1072" s="243"/>
      <c r="AM1072" s="511" t="s">
        <v>939</v>
      </c>
      <c r="AN1072" s="404"/>
    </row>
    <row r="1073" spans="1:40" ht="12.75" x14ac:dyDescent="0.2">
      <c r="A1073" s="564"/>
      <c r="B1073" s="340"/>
      <c r="AH1073" s="243"/>
      <c r="AM1073" s="511" t="s">
        <v>940</v>
      </c>
      <c r="AN1073" s="404"/>
    </row>
    <row r="1074" spans="1:40" ht="12.75" x14ac:dyDescent="0.2">
      <c r="A1074" s="564"/>
      <c r="B1074" s="340"/>
      <c r="AH1074" s="243"/>
      <c r="AM1074" s="511" t="s">
        <v>941</v>
      </c>
      <c r="AN1074" s="404"/>
    </row>
    <row r="1075" spans="1:40" ht="12.75" x14ac:dyDescent="0.2">
      <c r="A1075" s="564"/>
      <c r="B1075" s="340"/>
      <c r="AH1075" s="243"/>
      <c r="AM1075" s="511" t="s">
        <v>942</v>
      </c>
      <c r="AN1075" s="404"/>
    </row>
    <row r="1076" spans="1:40" ht="12.75" x14ac:dyDescent="0.2">
      <c r="A1076" s="564"/>
      <c r="B1076" s="340"/>
      <c r="AH1076" s="243"/>
      <c r="AM1076" s="511" t="s">
        <v>943</v>
      </c>
      <c r="AN1076" s="404"/>
    </row>
    <row r="1077" spans="1:40" ht="12.75" x14ac:dyDescent="0.2">
      <c r="A1077" s="564"/>
      <c r="B1077" s="340"/>
      <c r="AH1077" s="243"/>
      <c r="AM1077" s="511" t="s">
        <v>944</v>
      </c>
      <c r="AN1077" s="404"/>
    </row>
    <row r="1078" spans="1:40" ht="12.75" x14ac:dyDescent="0.2">
      <c r="A1078" s="564"/>
      <c r="B1078" s="340"/>
      <c r="AH1078" s="243"/>
      <c r="AM1078" s="511" t="s">
        <v>945</v>
      </c>
      <c r="AN1078" s="404"/>
    </row>
    <row r="1079" spans="1:40" ht="12.75" x14ac:dyDescent="0.2">
      <c r="A1079" s="564"/>
      <c r="B1079" s="340"/>
      <c r="AH1079" s="243"/>
      <c r="AM1079" s="511" t="s">
        <v>946</v>
      </c>
      <c r="AN1079" s="404"/>
    </row>
    <row r="1080" spans="1:40" ht="12.75" x14ac:dyDescent="0.2">
      <c r="A1080" s="564"/>
      <c r="B1080" s="340"/>
      <c r="AH1080" s="243"/>
      <c r="AM1080" s="511" t="s">
        <v>947</v>
      </c>
      <c r="AN1080" s="404"/>
    </row>
    <row r="1081" spans="1:40" ht="12.75" x14ac:dyDescent="0.2">
      <c r="A1081" s="564"/>
      <c r="B1081" s="340"/>
      <c r="AH1081" s="243"/>
      <c r="AM1081" s="511" t="s">
        <v>948</v>
      </c>
      <c r="AN1081" s="404"/>
    </row>
    <row r="1082" spans="1:40" ht="12.75" x14ac:dyDescent="0.2">
      <c r="A1082" s="564"/>
      <c r="B1082" s="340"/>
      <c r="AH1082" s="243"/>
      <c r="AM1082" s="511" t="s">
        <v>949</v>
      </c>
      <c r="AN1082" s="404"/>
    </row>
    <row r="1083" spans="1:40" ht="12.75" x14ac:dyDescent="0.2">
      <c r="A1083" s="564"/>
      <c r="B1083" s="340"/>
      <c r="AH1083" s="243"/>
      <c r="AM1083" s="511" t="s">
        <v>950</v>
      </c>
      <c r="AN1083" s="404"/>
    </row>
    <row r="1084" spans="1:40" ht="12.75" x14ac:dyDescent="0.2">
      <c r="A1084" s="564"/>
      <c r="B1084" s="340"/>
      <c r="AH1084" s="243"/>
      <c r="AM1084" s="511" t="s">
        <v>951</v>
      </c>
      <c r="AN1084" s="404"/>
    </row>
    <row r="1085" spans="1:40" ht="12.75" x14ac:dyDescent="0.2">
      <c r="A1085" s="564"/>
      <c r="B1085" s="340"/>
      <c r="AH1085" s="243"/>
      <c r="AM1085" s="511" t="s">
        <v>952</v>
      </c>
      <c r="AN1085" s="404"/>
    </row>
    <row r="1086" spans="1:40" ht="12.75" x14ac:dyDescent="0.2">
      <c r="A1086" s="564"/>
      <c r="B1086" s="340"/>
      <c r="AH1086" s="243"/>
      <c r="AM1086" s="511" t="s">
        <v>953</v>
      </c>
      <c r="AN1086" s="404"/>
    </row>
    <row r="1087" spans="1:40" ht="12.75" x14ac:dyDescent="0.2">
      <c r="A1087" s="564"/>
      <c r="B1087" s="340"/>
      <c r="AH1087" s="243"/>
      <c r="AM1087" s="511" t="s">
        <v>954</v>
      </c>
      <c r="AN1087" s="404"/>
    </row>
    <row r="1088" spans="1:40" ht="12.75" x14ac:dyDescent="0.2">
      <c r="A1088" s="564"/>
      <c r="B1088" s="340"/>
      <c r="AH1088" s="243"/>
      <c r="AM1088" s="511" t="s">
        <v>955</v>
      </c>
      <c r="AN1088" s="404"/>
    </row>
    <row r="1089" spans="1:40" ht="12.75" x14ac:dyDescent="0.2">
      <c r="A1089" s="564"/>
      <c r="B1089" s="340"/>
      <c r="AH1089" s="243"/>
      <c r="AM1089" s="511" t="s">
        <v>956</v>
      </c>
      <c r="AN1089" s="404"/>
    </row>
    <row r="1090" spans="1:40" ht="12.75" x14ac:dyDescent="0.2">
      <c r="A1090" s="564"/>
      <c r="B1090" s="340"/>
      <c r="AH1090" s="243"/>
      <c r="AM1090" s="511" t="s">
        <v>957</v>
      </c>
      <c r="AN1090" s="404"/>
    </row>
    <row r="1091" spans="1:40" ht="12.75" x14ac:dyDescent="0.2">
      <c r="A1091" s="564"/>
      <c r="B1091" s="340"/>
      <c r="AH1091" s="243"/>
      <c r="AM1091" s="511" t="s">
        <v>958</v>
      </c>
      <c r="AN1091" s="404"/>
    </row>
    <row r="1092" spans="1:40" ht="12.75" x14ac:dyDescent="0.2">
      <c r="A1092" s="564"/>
      <c r="B1092" s="340"/>
      <c r="AH1092" s="243"/>
      <c r="AM1092" s="511" t="s">
        <v>959</v>
      </c>
      <c r="AN1092" s="404"/>
    </row>
    <row r="1093" spans="1:40" ht="12.75" x14ac:dyDescent="0.2">
      <c r="A1093" s="564"/>
      <c r="B1093" s="340"/>
      <c r="AH1093" s="243"/>
      <c r="AM1093" s="511" t="s">
        <v>960</v>
      </c>
      <c r="AN1093" s="404"/>
    </row>
    <row r="1094" spans="1:40" ht="12.75" x14ac:dyDescent="0.2">
      <c r="A1094" s="564"/>
      <c r="B1094" s="340"/>
      <c r="AH1094" s="243"/>
      <c r="AM1094" s="511" t="s">
        <v>961</v>
      </c>
      <c r="AN1094" s="404"/>
    </row>
    <row r="1095" spans="1:40" ht="12.75" x14ac:dyDescent="0.2">
      <c r="A1095" s="564"/>
      <c r="B1095" s="340"/>
      <c r="AH1095" s="243"/>
      <c r="AM1095" s="511" t="s">
        <v>962</v>
      </c>
      <c r="AN1095" s="404"/>
    </row>
    <row r="1096" spans="1:40" ht="12.75" x14ac:dyDescent="0.2">
      <c r="A1096" s="564"/>
      <c r="B1096" s="340"/>
      <c r="AH1096" s="243"/>
      <c r="AM1096" s="511" t="s">
        <v>963</v>
      </c>
      <c r="AN1096" s="404"/>
    </row>
    <row r="1097" spans="1:40" ht="12.75" x14ac:dyDescent="0.2">
      <c r="A1097" s="564"/>
      <c r="B1097" s="340"/>
      <c r="AH1097" s="243"/>
      <c r="AM1097" s="511" t="s">
        <v>964</v>
      </c>
      <c r="AN1097" s="404"/>
    </row>
    <row r="1098" spans="1:40" ht="12.75" x14ac:dyDescent="0.2">
      <c r="A1098" s="564"/>
      <c r="B1098" s="340"/>
      <c r="AH1098" s="243"/>
      <c r="AM1098" s="511" t="s">
        <v>965</v>
      </c>
      <c r="AN1098" s="404"/>
    </row>
    <row r="1099" spans="1:40" ht="12.75" x14ac:dyDescent="0.2">
      <c r="A1099" s="564"/>
      <c r="B1099" s="340"/>
      <c r="AH1099" s="243"/>
      <c r="AM1099" s="511" t="s">
        <v>966</v>
      </c>
      <c r="AN1099" s="404"/>
    </row>
    <row r="1100" spans="1:40" ht="12.75" x14ac:dyDescent="0.2">
      <c r="A1100" s="564"/>
      <c r="B1100" s="340"/>
      <c r="AH1100" s="243"/>
      <c r="AM1100" s="511" t="s">
        <v>967</v>
      </c>
      <c r="AN1100" s="404"/>
    </row>
    <row r="1101" spans="1:40" ht="12.75" x14ac:dyDescent="0.2">
      <c r="A1101" s="564"/>
      <c r="B1101" s="340"/>
      <c r="AH1101" s="243"/>
      <c r="AM1101" s="511" t="s">
        <v>968</v>
      </c>
      <c r="AN1101" s="404"/>
    </row>
    <row r="1102" spans="1:40" ht="12.75" x14ac:dyDescent="0.2">
      <c r="A1102" s="564"/>
      <c r="B1102" s="340"/>
      <c r="AH1102" s="243"/>
      <c r="AM1102" s="511" t="s">
        <v>969</v>
      </c>
      <c r="AN1102" s="404"/>
    </row>
    <row r="1103" spans="1:40" ht="12.75" x14ac:dyDescent="0.2">
      <c r="A1103" s="564"/>
      <c r="B1103" s="340"/>
      <c r="AH1103" s="243"/>
      <c r="AM1103" s="511" t="s">
        <v>632</v>
      </c>
      <c r="AN1103" s="404"/>
    </row>
    <row r="1104" spans="1:40" ht="12.75" x14ac:dyDescent="0.2">
      <c r="A1104" s="564"/>
      <c r="B1104" s="340"/>
      <c r="AH1104" s="243"/>
      <c r="AM1104" s="511" t="s">
        <v>970</v>
      </c>
      <c r="AN1104" s="404"/>
    </row>
    <row r="1105" spans="1:40" ht="12.75" x14ac:dyDescent="0.2">
      <c r="A1105" s="564"/>
      <c r="B1105" s="340"/>
      <c r="AH1105" s="243"/>
      <c r="AM1105" s="511" t="s">
        <v>971</v>
      </c>
      <c r="AN1105" s="404"/>
    </row>
    <row r="1106" spans="1:40" ht="12.75" x14ac:dyDescent="0.2">
      <c r="A1106" s="564"/>
      <c r="B1106" s="340"/>
      <c r="AH1106" s="243"/>
      <c r="AM1106" s="511" t="s">
        <v>972</v>
      </c>
      <c r="AN1106" s="404"/>
    </row>
    <row r="1107" spans="1:40" ht="12.75" x14ac:dyDescent="0.2">
      <c r="A1107" s="564"/>
      <c r="B1107" s="340"/>
      <c r="AH1107" s="243"/>
      <c r="AM1107" s="511" t="s">
        <v>973</v>
      </c>
      <c r="AN1107" s="404"/>
    </row>
    <row r="1108" spans="1:40" ht="12.75" x14ac:dyDescent="0.2">
      <c r="A1108" s="564"/>
      <c r="B1108" s="340"/>
      <c r="AH1108" s="243"/>
      <c r="AM1108" s="511" t="s">
        <v>974</v>
      </c>
      <c r="AN1108" s="404"/>
    </row>
    <row r="1109" spans="1:40" ht="12.75" x14ac:dyDescent="0.2">
      <c r="A1109" s="564"/>
      <c r="B1109" s="340"/>
      <c r="AH1109" s="243"/>
      <c r="AM1109" s="511" t="s">
        <v>975</v>
      </c>
      <c r="AN1109" s="404"/>
    </row>
    <row r="1110" spans="1:40" ht="12.75" x14ac:dyDescent="0.2">
      <c r="A1110" s="564"/>
      <c r="B1110" s="340"/>
      <c r="AH1110" s="243"/>
      <c r="AM1110" s="511" t="s">
        <v>976</v>
      </c>
      <c r="AN1110" s="404"/>
    </row>
    <row r="1111" spans="1:40" ht="12.75" x14ac:dyDescent="0.2">
      <c r="A1111" s="564"/>
      <c r="B1111" s="340"/>
      <c r="AH1111" s="243"/>
      <c r="AM1111" s="511" t="s">
        <v>977</v>
      </c>
      <c r="AN1111" s="404"/>
    </row>
    <row r="1112" spans="1:40" ht="12.75" x14ac:dyDescent="0.2">
      <c r="A1112" s="564"/>
      <c r="B1112" s="340"/>
      <c r="AH1112" s="243"/>
      <c r="AM1112" s="511" t="s">
        <v>978</v>
      </c>
      <c r="AN1112" s="404"/>
    </row>
    <row r="1113" spans="1:40" ht="12.75" x14ac:dyDescent="0.2">
      <c r="A1113" s="564"/>
      <c r="B1113" s="340"/>
      <c r="AH1113" s="243"/>
      <c r="AM1113" s="511" t="s">
        <v>126</v>
      </c>
      <c r="AN1113" s="404"/>
    </row>
    <row r="1114" spans="1:40" ht="12.75" x14ac:dyDescent="0.2">
      <c r="A1114" s="564"/>
      <c r="B1114" s="340"/>
      <c r="AH1114" s="243"/>
      <c r="AM1114" s="511" t="s">
        <v>127</v>
      </c>
      <c r="AN1114" s="404"/>
    </row>
    <row r="1115" spans="1:40" ht="12.75" x14ac:dyDescent="0.2">
      <c r="A1115" s="564"/>
      <c r="B1115" s="340"/>
      <c r="AH1115" s="243"/>
      <c r="AM1115" s="511" t="s">
        <v>128</v>
      </c>
      <c r="AN1115" s="404"/>
    </row>
    <row r="1116" spans="1:40" ht="12.75" x14ac:dyDescent="0.2">
      <c r="A1116" s="564"/>
      <c r="B1116" s="340"/>
      <c r="AH1116" s="243"/>
      <c r="AM1116" s="511" t="s">
        <v>129</v>
      </c>
      <c r="AN1116" s="404"/>
    </row>
    <row r="1117" spans="1:40" ht="12.75" x14ac:dyDescent="0.2">
      <c r="A1117" s="564"/>
      <c r="B1117" s="340"/>
      <c r="AH1117" s="243"/>
      <c r="AM1117" s="511" t="s">
        <v>130</v>
      </c>
      <c r="AN1117" s="404"/>
    </row>
    <row r="1118" spans="1:40" ht="12" customHeight="1" x14ac:dyDescent="0.2">
      <c r="A1118" s="564"/>
      <c r="B1118" s="340"/>
      <c r="AH1118" s="243"/>
      <c r="AM1118" s="511" t="s">
        <v>131</v>
      </c>
      <c r="AN1118" s="404"/>
    </row>
    <row r="1119" spans="1:40" ht="12.75" x14ac:dyDescent="0.2">
      <c r="A1119" s="564"/>
      <c r="B1119" s="340"/>
      <c r="AH1119" s="243"/>
      <c r="AM1119" s="511" t="s">
        <v>132</v>
      </c>
      <c r="AN1119" s="404"/>
    </row>
    <row r="1120" spans="1:40" ht="12.75" x14ac:dyDescent="0.2">
      <c r="AM1120" s="511" t="s">
        <v>133</v>
      </c>
      <c r="AN1120" s="404"/>
    </row>
  </sheetData>
  <sheetProtection password="E911" sheet="1" formatCells="0" formatRows="0" insertHyperlinks="0" selectLockedCells="1"/>
  <dataConsolidate/>
  <mergeCells count="1977">
    <mergeCell ref="P432:W432"/>
    <mergeCell ref="U403:AA403"/>
    <mergeCell ref="W358:Z358"/>
    <mergeCell ref="Q353:V353"/>
    <mergeCell ref="U387:AA387"/>
    <mergeCell ref="AB389:AG389"/>
    <mergeCell ref="AB390:AG390"/>
    <mergeCell ref="U389:AA389"/>
    <mergeCell ref="X456:AG456"/>
    <mergeCell ref="P442:W442"/>
    <mergeCell ref="X439:AG439"/>
    <mergeCell ref="P438:W438"/>
    <mergeCell ref="X452:AG452"/>
    <mergeCell ref="AB385:AG385"/>
    <mergeCell ref="AD426:AE426"/>
    <mergeCell ref="U402:AA402"/>
    <mergeCell ref="AB402:AG402"/>
    <mergeCell ref="AB403:AG403"/>
    <mergeCell ref="X441:AG441"/>
    <mergeCell ref="X443:AG443"/>
    <mergeCell ref="X445:AG445"/>
    <mergeCell ref="X434:AG434"/>
    <mergeCell ref="U405:AA405"/>
    <mergeCell ref="AB405:AG405"/>
    <mergeCell ref="P434:W434"/>
    <mergeCell ref="X431:AG431"/>
    <mergeCell ref="AB407:AG407"/>
    <mergeCell ref="U406:AA406"/>
    <mergeCell ref="X432:AG432"/>
    <mergeCell ref="U404:AA404"/>
    <mergeCell ref="AB404:AG404"/>
    <mergeCell ref="AB406:AG406"/>
    <mergeCell ref="AA331:AD331"/>
    <mergeCell ref="W338:Z338"/>
    <mergeCell ref="AA338:AD338"/>
    <mergeCell ref="Q343:V343"/>
    <mergeCell ref="Q340:V340"/>
    <mergeCell ref="Q342:V342"/>
    <mergeCell ref="W341:Z341"/>
    <mergeCell ref="AB387:AG387"/>
    <mergeCell ref="W351:Z351"/>
    <mergeCell ref="AA351:AD351"/>
    <mergeCell ref="Q350:V350"/>
    <mergeCell ref="AA350:AD350"/>
    <mergeCell ref="AE350:AG350"/>
    <mergeCell ref="AE351:AG351"/>
    <mergeCell ref="Q365:V365"/>
    <mergeCell ref="O386:T386"/>
    <mergeCell ref="U385:AA385"/>
    <mergeCell ref="AE352:AG352"/>
    <mergeCell ref="Q348:V348"/>
    <mergeCell ref="Q354:V354"/>
    <mergeCell ref="AA354:AD354"/>
    <mergeCell ref="Q360:V360"/>
    <mergeCell ref="W360:Z360"/>
    <mergeCell ref="AA344:AD344"/>
    <mergeCell ref="Q347:V347"/>
    <mergeCell ref="AA360:AD360"/>
    <mergeCell ref="W345:Z345"/>
    <mergeCell ref="AA345:AD345"/>
    <mergeCell ref="AA485:AG485"/>
    <mergeCell ref="O392:T392"/>
    <mergeCell ref="O403:T403"/>
    <mergeCell ref="AA337:AD337"/>
    <mergeCell ref="W335:Z335"/>
    <mergeCell ref="AA334:AD334"/>
    <mergeCell ref="W337:Z337"/>
    <mergeCell ref="AE349:AG349"/>
    <mergeCell ref="M552:O556"/>
    <mergeCell ref="P551:W551"/>
    <mergeCell ref="P542:W542"/>
    <mergeCell ref="M533:O533"/>
    <mergeCell ref="P549:W549"/>
    <mergeCell ref="Q331:V331"/>
    <mergeCell ref="Q336:V336"/>
    <mergeCell ref="Q334:V334"/>
    <mergeCell ref="Q332:V332"/>
    <mergeCell ref="W332:Z332"/>
    <mergeCell ref="W331:Z331"/>
    <mergeCell ref="W336:Z336"/>
    <mergeCell ref="Q335:V335"/>
    <mergeCell ref="AA341:AD341"/>
    <mergeCell ref="W342:Z342"/>
    <mergeCell ref="AA342:AD342"/>
    <mergeCell ref="Q338:V338"/>
    <mergeCell ref="W333:Z333"/>
    <mergeCell ref="AA333:AD333"/>
    <mergeCell ref="Q333:V333"/>
    <mergeCell ref="W340:Z340"/>
    <mergeCell ref="W339:Z339"/>
    <mergeCell ref="AA336:AD336"/>
    <mergeCell ref="AA346:AD346"/>
    <mergeCell ref="M488:O489"/>
    <mergeCell ref="U491:AG491"/>
    <mergeCell ref="AD492:AE492"/>
    <mergeCell ref="P495:T496"/>
    <mergeCell ref="P499:AG499"/>
    <mergeCell ref="AD497:AE497"/>
    <mergeCell ref="C490:F500"/>
    <mergeCell ref="AA489:AG489"/>
    <mergeCell ref="P490:T491"/>
    <mergeCell ref="M490:O494"/>
    <mergeCell ref="U490:AG490"/>
    <mergeCell ref="M495:O500"/>
    <mergeCell ref="P500:AG500"/>
    <mergeCell ref="G495:L500"/>
    <mergeCell ref="AD498:AE498"/>
    <mergeCell ref="Q341:V341"/>
    <mergeCell ref="Q339:V339"/>
    <mergeCell ref="U484:AG484"/>
    <mergeCell ref="P484:T484"/>
    <mergeCell ref="K352:P352"/>
    <mergeCell ref="C488:L489"/>
    <mergeCell ref="K350:P350"/>
    <mergeCell ref="O399:T399"/>
    <mergeCell ref="W353:Z353"/>
    <mergeCell ref="M436:O436"/>
    <mergeCell ref="W349:Z349"/>
    <mergeCell ref="AA349:AD349"/>
    <mergeCell ref="Q363:V363"/>
    <mergeCell ref="P489:Z489"/>
    <mergeCell ref="AA486:AG487"/>
    <mergeCell ref="P485:Z485"/>
    <mergeCell ref="P486:Z487"/>
    <mergeCell ref="E797:I797"/>
    <mergeCell ref="G490:L494"/>
    <mergeCell ref="C534:L534"/>
    <mergeCell ref="C535:D538"/>
    <mergeCell ref="C565:AG565"/>
    <mergeCell ref="X544:AG544"/>
    <mergeCell ref="C540:L541"/>
    <mergeCell ref="P544:W544"/>
    <mergeCell ref="C533:L533"/>
    <mergeCell ref="E538:L538"/>
    <mergeCell ref="AA534:AG534"/>
    <mergeCell ref="P545:W545"/>
    <mergeCell ref="P534:Z534"/>
    <mergeCell ref="M534:O534"/>
    <mergeCell ref="M535:O535"/>
    <mergeCell ref="M538:O538"/>
    <mergeCell ref="M536:O536"/>
    <mergeCell ref="P536:AG536"/>
    <mergeCell ref="X543:AG543"/>
    <mergeCell ref="E535:L535"/>
    <mergeCell ref="M546:O551"/>
    <mergeCell ref="P550:W550"/>
    <mergeCell ref="M541:O541"/>
    <mergeCell ref="P535:AG535"/>
    <mergeCell ref="C542:L545"/>
    <mergeCell ref="X550:AG550"/>
    <mergeCell ref="E536:L536"/>
    <mergeCell ref="X542:AG542"/>
    <mergeCell ref="P540:AG541"/>
    <mergeCell ref="Z518:AG518"/>
    <mergeCell ref="Z517:AG517"/>
    <mergeCell ref="P520:T520"/>
    <mergeCell ref="C480:L481"/>
    <mergeCell ref="C501:F506"/>
    <mergeCell ref="P503:U503"/>
    <mergeCell ref="V506:X506"/>
    <mergeCell ref="V503:X503"/>
    <mergeCell ref="I394:K396"/>
    <mergeCell ref="O404:T404"/>
    <mergeCell ref="C486:L486"/>
    <mergeCell ref="C487:L487"/>
    <mergeCell ref="P493:AG493"/>
    <mergeCell ref="P494:AG494"/>
    <mergeCell ref="O396:T396"/>
    <mergeCell ref="AB400:AG400"/>
    <mergeCell ref="AB401:AG401"/>
    <mergeCell ref="X453:AG453"/>
    <mergeCell ref="K346:P346"/>
    <mergeCell ref="K348:P348"/>
    <mergeCell ref="C362:J363"/>
    <mergeCell ref="C351:J352"/>
    <mergeCell ref="C353:J353"/>
    <mergeCell ref="C349:J350"/>
    <mergeCell ref="K351:P351"/>
    <mergeCell ref="K363:P363"/>
    <mergeCell ref="K362:P362"/>
    <mergeCell ref="L385:N387"/>
    <mergeCell ref="U386:AA386"/>
    <mergeCell ref="W350:Z350"/>
    <mergeCell ref="Q351:V351"/>
    <mergeCell ref="Q355:V355"/>
    <mergeCell ref="AA488:AG488"/>
    <mergeCell ref="O390:T390"/>
    <mergeCell ref="P437:W437"/>
    <mergeCell ref="G504:L506"/>
    <mergeCell ref="P501:AG501"/>
    <mergeCell ref="V525:AG525"/>
    <mergeCell ref="P533:Z533"/>
    <mergeCell ref="V524:AG524"/>
    <mergeCell ref="P515:Y515"/>
    <mergeCell ref="P517:Y517"/>
    <mergeCell ref="P516:Y516"/>
    <mergeCell ref="V530:AG530"/>
    <mergeCell ref="Z510:AB510"/>
    <mergeCell ref="AC509:AG509"/>
    <mergeCell ref="P522:T522"/>
    <mergeCell ref="Z508:AB508"/>
    <mergeCell ref="AC514:AG514"/>
    <mergeCell ref="P513:Y513"/>
    <mergeCell ref="AC511:AG511"/>
    <mergeCell ref="Z512:AB512"/>
    <mergeCell ref="P512:Y512"/>
    <mergeCell ref="Z513:AB513"/>
    <mergeCell ref="P504:AG504"/>
    <mergeCell ref="V521:AG521"/>
    <mergeCell ref="P514:Y514"/>
    <mergeCell ref="Z515:AG515"/>
    <mergeCell ref="Z514:AB514"/>
    <mergeCell ref="V519:AG519"/>
    <mergeCell ref="Z509:AB509"/>
    <mergeCell ref="AC510:AG510"/>
    <mergeCell ref="P509:Y509"/>
    <mergeCell ref="P510:Y510"/>
    <mergeCell ref="M511:O514"/>
    <mergeCell ref="M507:O510"/>
    <mergeCell ref="M523:O532"/>
    <mergeCell ref="M519:O522"/>
    <mergeCell ref="V531:AG531"/>
    <mergeCell ref="V520:AG520"/>
    <mergeCell ref="P518:Y518"/>
    <mergeCell ref="V529:AG529"/>
    <mergeCell ref="V528:AG528"/>
    <mergeCell ref="P519:U519"/>
    <mergeCell ref="P502:AG502"/>
    <mergeCell ref="P506:U506"/>
    <mergeCell ref="P508:Y508"/>
    <mergeCell ref="AC508:AG508"/>
    <mergeCell ref="AC507:AG507"/>
    <mergeCell ref="AC513:AG513"/>
    <mergeCell ref="AC512:AG512"/>
    <mergeCell ref="P505:AG505"/>
    <mergeCell ref="N707:O707"/>
    <mergeCell ref="P707:Z707"/>
    <mergeCell ref="N705:O705"/>
    <mergeCell ref="P705:Z705"/>
    <mergeCell ref="P704:Z704"/>
    <mergeCell ref="N704:O704"/>
    <mergeCell ref="V732:AE732"/>
    <mergeCell ref="Q729:T729"/>
    <mergeCell ref="E737:AB737"/>
    <mergeCell ref="P703:Z703"/>
    <mergeCell ref="N715:O716"/>
    <mergeCell ref="Q728:U728"/>
    <mergeCell ref="P717:Z717"/>
    <mergeCell ref="V728:Z728"/>
    <mergeCell ref="AA714:AF714"/>
    <mergeCell ref="C706:F708"/>
    <mergeCell ref="V792:Z792"/>
    <mergeCell ref="R745:AD745"/>
    <mergeCell ref="AC780:AD780"/>
    <mergeCell ref="G715:M716"/>
    <mergeCell ref="AA718:AF718"/>
    <mergeCell ref="P715:Z715"/>
    <mergeCell ref="AA792:AE792"/>
    <mergeCell ref="N764:Q764"/>
    <mergeCell ref="AA729:AD729"/>
    <mergeCell ref="AA719:AF719"/>
    <mergeCell ref="N703:O703"/>
    <mergeCell ref="P718:Z718"/>
    <mergeCell ref="P719:Z719"/>
    <mergeCell ref="AC737:AD737"/>
    <mergeCell ref="T579:AF579"/>
    <mergeCell ref="AD626:AE626"/>
    <mergeCell ref="E610:R610"/>
    <mergeCell ref="E599:F599"/>
    <mergeCell ref="J601:AF601"/>
    <mergeCell ref="V658:Z658"/>
    <mergeCell ref="C634:AG634"/>
    <mergeCell ref="AA588:AF588"/>
    <mergeCell ref="AD591:AE591"/>
    <mergeCell ref="AD618:AE618"/>
    <mergeCell ref="F588:T588"/>
    <mergeCell ref="Y643:Z643"/>
    <mergeCell ref="S608:AF608"/>
    <mergeCell ref="E598:F598"/>
    <mergeCell ref="E600:F600"/>
    <mergeCell ref="N702:O702"/>
    <mergeCell ref="S651:U651"/>
    <mergeCell ref="C659:L659"/>
    <mergeCell ref="C653:L653"/>
    <mergeCell ref="C650:L650"/>
    <mergeCell ref="M659:Q659"/>
    <mergeCell ref="M660:Q660"/>
    <mergeCell ref="S661:U661"/>
    <mergeCell ref="M658:Q658"/>
    <mergeCell ref="G620:AC620"/>
    <mergeCell ref="C662:L662"/>
    <mergeCell ref="V796:Z796"/>
    <mergeCell ref="AA796:AE796"/>
    <mergeCell ref="V795:Z795"/>
    <mergeCell ref="E789:I796"/>
    <mergeCell ref="AA793:AE793"/>
    <mergeCell ref="AA794:AE794"/>
    <mergeCell ref="J796:U796"/>
    <mergeCell ref="V791:Z791"/>
    <mergeCell ref="V789:Z789"/>
    <mergeCell ref="V790:Z790"/>
    <mergeCell ref="Z569:AF570"/>
    <mergeCell ref="P563:W563"/>
    <mergeCell ref="E569:M570"/>
    <mergeCell ref="P562:W562"/>
    <mergeCell ref="T577:AF577"/>
    <mergeCell ref="E573:M573"/>
    <mergeCell ref="E572:M572"/>
    <mergeCell ref="Z573:AF573"/>
    <mergeCell ref="Z571:AF571"/>
    <mergeCell ref="N569:Y570"/>
    <mergeCell ref="S611:AF611"/>
    <mergeCell ref="AA795:AE795"/>
    <mergeCell ref="E608:R608"/>
    <mergeCell ref="E578:M578"/>
    <mergeCell ref="N581:AF581"/>
    <mergeCell ref="N580:S580"/>
    <mergeCell ref="T580:AF580"/>
    <mergeCell ref="Z649:AA649"/>
    <mergeCell ref="G632:AC632"/>
    <mergeCell ref="M649:R649"/>
    <mergeCell ref="E638:F638"/>
    <mergeCell ref="E597:F597"/>
    <mergeCell ref="AE824:AF824"/>
    <mergeCell ref="AE823:AF823"/>
    <mergeCell ref="AC835:AD835"/>
    <mergeCell ref="T823:AB823"/>
    <mergeCell ref="J833:S833"/>
    <mergeCell ref="J830:S831"/>
    <mergeCell ref="J837:S837"/>
    <mergeCell ref="AC833:AD833"/>
    <mergeCell ref="AA799:AE799"/>
    <mergeCell ref="AC825:AD825"/>
    <mergeCell ref="J823:S823"/>
    <mergeCell ref="J799:U799"/>
    <mergeCell ref="V799:Z799"/>
    <mergeCell ref="AA800:AE800"/>
    <mergeCell ref="J800:U800"/>
    <mergeCell ref="T825:AB825"/>
    <mergeCell ref="C837:I837"/>
    <mergeCell ref="T837:AB837"/>
    <mergeCell ref="AE836:AF836"/>
    <mergeCell ref="AC836:AD836"/>
    <mergeCell ref="AE837:AF837"/>
    <mergeCell ref="AC837:AD837"/>
    <mergeCell ref="J836:S836"/>
    <mergeCell ref="D829:AF829"/>
    <mergeCell ref="T820:AB821"/>
    <mergeCell ref="V801:Z801"/>
    <mergeCell ref="AE835:AF835"/>
    <mergeCell ref="AC823:AD823"/>
    <mergeCell ref="T822:AB822"/>
    <mergeCell ref="T833:AB833"/>
    <mergeCell ref="T824:AB824"/>
    <mergeCell ref="M770:V770"/>
    <mergeCell ref="M766:V766"/>
    <mergeCell ref="AA788:AE788"/>
    <mergeCell ref="AA787:AE787"/>
    <mergeCell ref="J788:U788"/>
    <mergeCell ref="M767:V767"/>
    <mergeCell ref="C766:L766"/>
    <mergeCell ref="W766:AF766"/>
    <mergeCell ref="W768:AF768"/>
    <mergeCell ref="O806:Q806"/>
    <mergeCell ref="J825:S825"/>
    <mergeCell ref="O804:Q804"/>
    <mergeCell ref="C828:AG828"/>
    <mergeCell ref="AC824:AD824"/>
    <mergeCell ref="AC822:AD822"/>
    <mergeCell ref="AB812:AD812"/>
    <mergeCell ref="AE826:AF826"/>
    <mergeCell ref="C824:I824"/>
    <mergeCell ref="C823:I823"/>
    <mergeCell ref="J826:S826"/>
    <mergeCell ref="AE822:AF822"/>
    <mergeCell ref="S812:U812"/>
    <mergeCell ref="J824:S824"/>
    <mergeCell ref="J822:S822"/>
    <mergeCell ref="D819:AF819"/>
    <mergeCell ref="C820:I821"/>
    <mergeCell ref="AB814:AD814"/>
    <mergeCell ref="C825:I825"/>
    <mergeCell ref="J820:S821"/>
    <mergeCell ref="AE825:AF825"/>
    <mergeCell ref="AC826:AD826"/>
    <mergeCell ref="N719:O720"/>
    <mergeCell ref="L727:P727"/>
    <mergeCell ref="N717:O718"/>
    <mergeCell ref="C723:AG723"/>
    <mergeCell ref="AA717:AF717"/>
    <mergeCell ref="AA716:AF716"/>
    <mergeCell ref="G719:M720"/>
    <mergeCell ref="AA720:AF720"/>
    <mergeCell ref="L726:U726"/>
    <mergeCell ref="AA727:AE727"/>
    <mergeCell ref="P559:W559"/>
    <mergeCell ref="X560:AG560"/>
    <mergeCell ref="X559:AG559"/>
    <mergeCell ref="M431:O431"/>
    <mergeCell ref="P460:W460"/>
    <mergeCell ref="U495:AG495"/>
    <mergeCell ref="P556:W556"/>
    <mergeCell ref="V527:AG527"/>
    <mergeCell ref="V522:AG522"/>
    <mergeCell ref="Z516:AG516"/>
    <mergeCell ref="AA715:AF715"/>
    <mergeCell ref="AA708:AF708"/>
    <mergeCell ref="AA707:AF707"/>
    <mergeCell ref="P706:Z706"/>
    <mergeCell ref="AA711:AF711"/>
    <mergeCell ref="AD567:AE567"/>
    <mergeCell ref="F586:T586"/>
    <mergeCell ref="G708:M708"/>
    <mergeCell ref="N571:Y571"/>
    <mergeCell ref="G711:O711"/>
    <mergeCell ref="P708:Z708"/>
    <mergeCell ref="G717:M718"/>
    <mergeCell ref="C334:J335"/>
    <mergeCell ref="C337:J339"/>
    <mergeCell ref="K337:P337"/>
    <mergeCell ref="K334:P334"/>
    <mergeCell ref="K335:P335"/>
    <mergeCell ref="C336:J336"/>
    <mergeCell ref="K336:P336"/>
    <mergeCell ref="K339:P339"/>
    <mergeCell ref="K338:P338"/>
    <mergeCell ref="Z572:AF572"/>
    <mergeCell ref="S654:U654"/>
    <mergeCell ref="AA553:AC553"/>
    <mergeCell ref="P538:AG538"/>
    <mergeCell ref="P552:U553"/>
    <mergeCell ref="P521:T521"/>
    <mergeCell ref="AA533:AG533"/>
    <mergeCell ref="V526:AG526"/>
    <mergeCell ref="V523:AG523"/>
    <mergeCell ref="N573:Y573"/>
    <mergeCell ref="AD593:AE593"/>
    <mergeCell ref="V643:X643"/>
    <mergeCell ref="V648:AA648"/>
    <mergeCell ref="AB650:AG653"/>
    <mergeCell ref="S650:U650"/>
    <mergeCell ref="V653:Z653"/>
    <mergeCell ref="V651:Z651"/>
    <mergeCell ref="C340:J341"/>
    <mergeCell ref="U396:AA396"/>
    <mergeCell ref="G437:L437"/>
    <mergeCell ref="P450:W450"/>
    <mergeCell ref="C435:F436"/>
    <mergeCell ref="C344:J345"/>
    <mergeCell ref="AE329:AG329"/>
    <mergeCell ref="W328:Z328"/>
    <mergeCell ref="AA328:AD328"/>
    <mergeCell ref="W330:Z330"/>
    <mergeCell ref="Q326:V326"/>
    <mergeCell ref="AE325:AG325"/>
    <mergeCell ref="AE341:AG341"/>
    <mergeCell ref="AE339:AG339"/>
    <mergeCell ref="W329:Z329"/>
    <mergeCell ref="AA329:AD329"/>
    <mergeCell ref="Q327:V327"/>
    <mergeCell ref="AA327:AD327"/>
    <mergeCell ref="Q337:V337"/>
    <mergeCell ref="W334:Z334"/>
    <mergeCell ref="AM561:AU562"/>
    <mergeCell ref="X551:AG551"/>
    <mergeCell ref="AE546:AG546"/>
    <mergeCell ref="X545:AG545"/>
    <mergeCell ref="AA552:AC552"/>
    <mergeCell ref="AD553:AG553"/>
    <mergeCell ref="AD547:AG547"/>
    <mergeCell ref="X557:AG557"/>
    <mergeCell ref="X556:AG556"/>
    <mergeCell ref="X555:AG555"/>
    <mergeCell ref="O393:T393"/>
    <mergeCell ref="M540:O540"/>
    <mergeCell ref="AA547:AC547"/>
    <mergeCell ref="P548:W548"/>
    <mergeCell ref="AA546:AC546"/>
    <mergeCell ref="M542:O545"/>
    <mergeCell ref="P543:W543"/>
    <mergeCell ref="P546:U547"/>
    <mergeCell ref="C265:AA265"/>
    <mergeCell ref="Z278:AC278"/>
    <mergeCell ref="C243:M243"/>
    <mergeCell ref="AB264:AF264"/>
    <mergeCell ref="AB263:AF263"/>
    <mergeCell ref="C249:AA250"/>
    <mergeCell ref="C254:AA254"/>
    <mergeCell ref="Z271:AF271"/>
    <mergeCell ref="D304:E304"/>
    <mergeCell ref="D306:E306"/>
    <mergeCell ref="K328:P328"/>
    <mergeCell ref="K326:P326"/>
    <mergeCell ref="C323:J324"/>
    <mergeCell ref="C327:J327"/>
    <mergeCell ref="G309:T309"/>
    <mergeCell ref="C310:I311"/>
    <mergeCell ref="D313:E313"/>
    <mergeCell ref="AD278:AE278"/>
    <mergeCell ref="W326:Z326"/>
    <mergeCell ref="K325:P325"/>
    <mergeCell ref="K324:P324"/>
    <mergeCell ref="AE323:AG323"/>
    <mergeCell ref="Q321:V322"/>
    <mergeCell ref="Q323:V323"/>
    <mergeCell ref="AE326:AG326"/>
    <mergeCell ref="G313:AB313"/>
    <mergeCell ref="AE324:AG324"/>
    <mergeCell ref="AE327:AG327"/>
    <mergeCell ref="AB315:AE315"/>
    <mergeCell ref="AB317:AE317"/>
    <mergeCell ref="W322:Z322"/>
    <mergeCell ref="W325:Z325"/>
    <mergeCell ref="D302:E302"/>
    <mergeCell ref="D307:E307"/>
    <mergeCell ref="D303:E303"/>
    <mergeCell ref="D305:E305"/>
    <mergeCell ref="AE340:AG340"/>
    <mergeCell ref="K341:P341"/>
    <mergeCell ref="C321:J322"/>
    <mergeCell ref="K323:P323"/>
    <mergeCell ref="W289:AG289"/>
    <mergeCell ref="D299:E299"/>
    <mergeCell ref="D298:E298"/>
    <mergeCell ref="D301:E301"/>
    <mergeCell ref="C320:AG320"/>
    <mergeCell ref="AE311:AF311"/>
    <mergeCell ref="D308:E308"/>
    <mergeCell ref="J292:T292"/>
    <mergeCell ref="C267:AA267"/>
    <mergeCell ref="R284:X284"/>
    <mergeCell ref="Z269:AF269"/>
    <mergeCell ref="W327:Z327"/>
    <mergeCell ref="AA323:AD323"/>
    <mergeCell ref="AA325:AD325"/>
    <mergeCell ref="AA324:AD324"/>
    <mergeCell ref="AA322:AD322"/>
    <mergeCell ref="C295:AG295"/>
    <mergeCell ref="F292:I292"/>
    <mergeCell ref="AE333:AG333"/>
    <mergeCell ref="AA340:AD340"/>
    <mergeCell ref="AE336:AG336"/>
    <mergeCell ref="AE330:AG330"/>
    <mergeCell ref="AE334:AG334"/>
    <mergeCell ref="AE338:AG338"/>
    <mergeCell ref="C332:J333"/>
    <mergeCell ref="AB316:AE316"/>
    <mergeCell ref="L391:N393"/>
    <mergeCell ref="Q352:V352"/>
    <mergeCell ref="O391:T391"/>
    <mergeCell ref="I385:K387"/>
    <mergeCell ref="O388:T388"/>
    <mergeCell ref="C330:J331"/>
    <mergeCell ref="AE343:AG343"/>
    <mergeCell ref="K327:P327"/>
    <mergeCell ref="AA335:AD335"/>
    <mergeCell ref="W324:Z324"/>
    <mergeCell ref="AA326:AD326"/>
    <mergeCell ref="Q329:V329"/>
    <mergeCell ref="W321:AD321"/>
    <mergeCell ref="K321:P322"/>
    <mergeCell ref="Q325:V325"/>
    <mergeCell ref="AA330:AD330"/>
    <mergeCell ref="Q328:V328"/>
    <mergeCell ref="Q324:V324"/>
    <mergeCell ref="K331:P331"/>
    <mergeCell ref="Q330:V330"/>
    <mergeCell ref="AE345:AG345"/>
    <mergeCell ref="AE331:AG331"/>
    <mergeCell ref="AA339:AD339"/>
    <mergeCell ref="AA332:AD332"/>
    <mergeCell ref="AE332:AG332"/>
    <mergeCell ref="AE337:AG337"/>
    <mergeCell ref="C328:J329"/>
    <mergeCell ref="K329:P329"/>
    <mergeCell ref="K330:P330"/>
    <mergeCell ref="AE328:AG328"/>
    <mergeCell ref="K332:P332"/>
    <mergeCell ref="AE344:AG344"/>
    <mergeCell ref="AE346:AG346"/>
    <mergeCell ref="AE342:AG342"/>
    <mergeCell ref="AE335:AG335"/>
    <mergeCell ref="AE361:AG361"/>
    <mergeCell ref="AE353:AG353"/>
    <mergeCell ref="AA364:AD364"/>
    <mergeCell ref="K358:P358"/>
    <mergeCell ref="O385:T385"/>
    <mergeCell ref="U398:AA398"/>
    <mergeCell ref="AB399:AG399"/>
    <mergeCell ref="O387:T387"/>
    <mergeCell ref="AB394:AG394"/>
    <mergeCell ref="U388:AA388"/>
    <mergeCell ref="AB393:AG393"/>
    <mergeCell ref="U391:AA391"/>
    <mergeCell ref="O389:T389"/>
    <mergeCell ref="K343:P343"/>
    <mergeCell ref="O395:T395"/>
    <mergeCell ref="L394:N396"/>
    <mergeCell ref="U395:AA395"/>
    <mergeCell ref="Q345:V345"/>
    <mergeCell ref="W347:Z347"/>
    <mergeCell ref="AB397:AG397"/>
    <mergeCell ref="AB398:AG398"/>
    <mergeCell ref="U394:AA394"/>
    <mergeCell ref="AB396:AG396"/>
    <mergeCell ref="O394:T394"/>
    <mergeCell ref="AB395:AG395"/>
    <mergeCell ref="M433:O433"/>
    <mergeCell ref="P441:W441"/>
    <mergeCell ref="P443:W443"/>
    <mergeCell ref="M435:O435"/>
    <mergeCell ref="M440:O440"/>
    <mergeCell ref="M438:O438"/>
    <mergeCell ref="M441:O442"/>
    <mergeCell ref="M434:O434"/>
    <mergeCell ref="M439:O439"/>
    <mergeCell ref="AA353:AD353"/>
    <mergeCell ref="W365:Z365"/>
    <mergeCell ref="AA365:AD365"/>
    <mergeCell ref="AB384:AG384"/>
    <mergeCell ref="AB388:AG388"/>
    <mergeCell ref="AE362:AG362"/>
    <mergeCell ref="AB386:AG386"/>
    <mergeCell ref="AA361:AD361"/>
    <mergeCell ref="AA362:AD362"/>
    <mergeCell ref="AB383:AG383"/>
    <mergeCell ref="C381:AF381"/>
    <mergeCell ref="C388:H390"/>
    <mergeCell ref="I391:K393"/>
    <mergeCell ref="L388:N390"/>
    <mergeCell ref="C391:H393"/>
    <mergeCell ref="U393:AA393"/>
    <mergeCell ref="AB392:AG392"/>
    <mergeCell ref="AB391:AG391"/>
    <mergeCell ref="U390:AA390"/>
    <mergeCell ref="I388:K390"/>
    <mergeCell ref="AE365:AG365"/>
    <mergeCell ref="C431:L431"/>
    <mergeCell ref="C394:H396"/>
    <mergeCell ref="C470:L470"/>
    <mergeCell ref="C456:F467"/>
    <mergeCell ref="P463:W463"/>
    <mergeCell ref="M461:O463"/>
    <mergeCell ref="P462:W462"/>
    <mergeCell ref="M443:O445"/>
    <mergeCell ref="P461:W461"/>
    <mergeCell ref="M456:O456"/>
    <mergeCell ref="P454:W454"/>
    <mergeCell ref="G462:L463"/>
    <mergeCell ref="X450:AG450"/>
    <mergeCell ref="X448:AG448"/>
    <mergeCell ref="P451:W451"/>
    <mergeCell ref="P449:W449"/>
    <mergeCell ref="P446:W446"/>
    <mergeCell ref="X440:AG440"/>
    <mergeCell ref="X447:AG447"/>
    <mergeCell ref="P445:W445"/>
    <mergeCell ref="X451:AG451"/>
    <mergeCell ref="X449:AG449"/>
    <mergeCell ref="M446:O448"/>
    <mergeCell ref="G446:L448"/>
    <mergeCell ref="G464:L467"/>
    <mergeCell ref="X436:AG436"/>
    <mergeCell ref="P448:W448"/>
    <mergeCell ref="X446:AG446"/>
    <mergeCell ref="M449:O451"/>
    <mergeCell ref="P447:W447"/>
    <mergeCell ref="G436:L436"/>
    <mergeCell ref="G435:L435"/>
    <mergeCell ref="X444:AG444"/>
    <mergeCell ref="P444:W444"/>
    <mergeCell ref="G439:L439"/>
    <mergeCell ref="G438:L438"/>
    <mergeCell ref="P440:W440"/>
    <mergeCell ref="X435:AG435"/>
    <mergeCell ref="P435:W435"/>
    <mergeCell ref="P436:W436"/>
    <mergeCell ref="G453:L454"/>
    <mergeCell ref="G452:L452"/>
    <mergeCell ref="P453:W453"/>
    <mergeCell ref="M453:O454"/>
    <mergeCell ref="P467:W467"/>
    <mergeCell ref="P466:W466"/>
    <mergeCell ref="X461:AG461"/>
    <mergeCell ref="X465:AG465"/>
    <mergeCell ref="P465:W465"/>
    <mergeCell ref="P464:W464"/>
    <mergeCell ref="AC468:AF468"/>
    <mergeCell ref="X463:AG463"/>
    <mergeCell ref="AC469:AF469"/>
    <mergeCell ref="X457:AG457"/>
    <mergeCell ref="X462:AG462"/>
    <mergeCell ref="X459:AG459"/>
    <mergeCell ref="X467:AG467"/>
    <mergeCell ref="X466:AG466"/>
    <mergeCell ref="X458:AG458"/>
    <mergeCell ref="X464:AG464"/>
    <mergeCell ref="C437:F438"/>
    <mergeCell ref="P439:W439"/>
    <mergeCell ref="M437:O437"/>
    <mergeCell ref="C439:F451"/>
    <mergeCell ref="G443:L445"/>
    <mergeCell ref="C452:F455"/>
    <mergeCell ref="M455:O455"/>
    <mergeCell ref="P455:W455"/>
    <mergeCell ref="G455:L455"/>
    <mergeCell ref="G461:L461"/>
    <mergeCell ref="G457:L457"/>
    <mergeCell ref="P459:W459"/>
    <mergeCell ref="P457:W457"/>
    <mergeCell ref="G458:L460"/>
    <mergeCell ref="M458:O460"/>
    <mergeCell ref="P470:W470"/>
    <mergeCell ref="M763:V763"/>
    <mergeCell ref="X470:AA470"/>
    <mergeCell ref="X554:AG554"/>
    <mergeCell ref="AA712:AF712"/>
    <mergeCell ref="AC470:AF470"/>
    <mergeCell ref="U754:W754"/>
    <mergeCell ref="V726:AE726"/>
    <mergeCell ref="AD674:AF674"/>
    <mergeCell ref="M768:V768"/>
    <mergeCell ref="M482:O482"/>
    <mergeCell ref="M480:O480"/>
    <mergeCell ref="P471:W471"/>
    <mergeCell ref="X471:AA471"/>
    <mergeCell ref="M481:O481"/>
    <mergeCell ref="M468:O471"/>
    <mergeCell ref="W767:AF767"/>
    <mergeCell ref="AD630:AE630"/>
    <mergeCell ref="X468:AA468"/>
    <mergeCell ref="P714:Z714"/>
    <mergeCell ref="G713:M714"/>
    <mergeCell ref="AA713:AF713"/>
    <mergeCell ref="N713:O714"/>
    <mergeCell ref="AA706:AF706"/>
    <mergeCell ref="AA703:AF703"/>
    <mergeCell ref="C682:Q682"/>
    <mergeCell ref="Y674:AB674"/>
    <mergeCell ref="Y676:AB676"/>
    <mergeCell ref="P720:Z720"/>
    <mergeCell ref="P716:Z716"/>
    <mergeCell ref="P713:Z713"/>
    <mergeCell ref="P711:Z712"/>
    <mergeCell ref="E726:K726"/>
    <mergeCell ref="N765:Q765"/>
    <mergeCell ref="W763:AF763"/>
    <mergeCell ref="E727:K727"/>
    <mergeCell ref="Q727:U727"/>
    <mergeCell ref="AA728:AE728"/>
    <mergeCell ref="R743:AD743"/>
    <mergeCell ref="X765:AA765"/>
    <mergeCell ref="W752:AB752"/>
    <mergeCell ref="E728:K729"/>
    <mergeCell ref="S765:V765"/>
    <mergeCell ref="V727:Z727"/>
    <mergeCell ref="Z757:AB757"/>
    <mergeCell ref="L729:P729"/>
    <mergeCell ref="S764:V764"/>
    <mergeCell ref="Q756:S756"/>
    <mergeCell ref="C764:L765"/>
    <mergeCell ref="Q734:U734"/>
    <mergeCell ref="C761:AF761"/>
    <mergeCell ref="V729:Z729"/>
    <mergeCell ref="X764:AA764"/>
    <mergeCell ref="J795:U795"/>
    <mergeCell ref="T830:AB831"/>
    <mergeCell ref="AA801:AE801"/>
    <mergeCell ref="V797:Z797"/>
    <mergeCell ref="C830:I831"/>
    <mergeCell ref="E732:K732"/>
    <mergeCell ref="R746:AD746"/>
    <mergeCell ref="R749:AF749"/>
    <mergeCell ref="L732:U732"/>
    <mergeCell ref="AC741:AD741"/>
    <mergeCell ref="AC764:AF764"/>
    <mergeCell ref="AC765:AF765"/>
    <mergeCell ref="AC772:AD772"/>
    <mergeCell ref="AA790:AE790"/>
    <mergeCell ref="C763:L763"/>
    <mergeCell ref="E730:K731"/>
    <mergeCell ref="L728:P728"/>
    <mergeCell ref="V730:AE731"/>
    <mergeCell ref="U755:W755"/>
    <mergeCell ref="L731:P731"/>
    <mergeCell ref="Q730:U730"/>
    <mergeCell ref="Q755:S755"/>
    <mergeCell ref="U756:W756"/>
    <mergeCell ref="Q731:T731"/>
    <mergeCell ref="E788:I788"/>
    <mergeCell ref="V787:Z787"/>
    <mergeCell ref="E787:U787"/>
    <mergeCell ref="AC776:AD776"/>
    <mergeCell ref="E784:AE784"/>
    <mergeCell ref="C769:L769"/>
    <mergeCell ref="C767:L767"/>
    <mergeCell ref="C770:L770"/>
    <mergeCell ref="AE847:AF847"/>
    <mergeCell ref="AE840:AF840"/>
    <mergeCell ref="AC841:AD841"/>
    <mergeCell ref="T839:AB839"/>
    <mergeCell ref="AC839:AD839"/>
    <mergeCell ref="J840:S840"/>
    <mergeCell ref="AE848:AF848"/>
    <mergeCell ref="AE846:AF846"/>
    <mergeCell ref="C836:I836"/>
    <mergeCell ref="J834:S834"/>
    <mergeCell ref="T834:AB834"/>
    <mergeCell ref="T832:AB832"/>
    <mergeCell ref="C835:I835"/>
    <mergeCell ref="C833:I833"/>
    <mergeCell ref="T836:AB836"/>
    <mergeCell ref="J835:S835"/>
    <mergeCell ref="AE833:AF833"/>
    <mergeCell ref="J832:S832"/>
    <mergeCell ref="C834:I834"/>
    <mergeCell ref="C832:I832"/>
    <mergeCell ref="T835:AB835"/>
    <mergeCell ref="C838:I838"/>
    <mergeCell ref="J839:S839"/>
    <mergeCell ref="J838:S838"/>
    <mergeCell ref="AC838:AD838"/>
    <mergeCell ref="C847:I847"/>
    <mergeCell ref="J849:S849"/>
    <mergeCell ref="C850:I850"/>
    <mergeCell ref="AC848:AD848"/>
    <mergeCell ref="AC849:AD849"/>
    <mergeCell ref="AC847:AD847"/>
    <mergeCell ref="J847:S847"/>
    <mergeCell ref="T849:AB849"/>
    <mergeCell ref="T850:AB850"/>
    <mergeCell ref="C853:I853"/>
    <mergeCell ref="C840:I840"/>
    <mergeCell ref="T840:AB840"/>
    <mergeCell ref="C852:I852"/>
    <mergeCell ref="T847:AB847"/>
    <mergeCell ref="C849:I849"/>
    <mergeCell ref="C844:I845"/>
    <mergeCell ref="J848:S848"/>
    <mergeCell ref="J851:S851"/>
    <mergeCell ref="J853:S853"/>
    <mergeCell ref="J841:S841"/>
    <mergeCell ref="J844:S845"/>
    <mergeCell ref="AE857:AF857"/>
    <mergeCell ref="AC853:AD853"/>
    <mergeCell ref="T854:AB854"/>
    <mergeCell ref="AE856:AF856"/>
    <mergeCell ref="T853:AB853"/>
    <mergeCell ref="AC855:AD855"/>
    <mergeCell ref="T851:AB851"/>
    <mergeCell ref="AC850:AD850"/>
    <mergeCell ref="AC851:AD851"/>
    <mergeCell ref="T855:AB855"/>
    <mergeCell ref="AC852:AD852"/>
    <mergeCell ref="C851:I851"/>
    <mergeCell ref="C848:I848"/>
    <mergeCell ref="AE852:AF852"/>
    <mergeCell ref="AE850:AF850"/>
    <mergeCell ref="AE851:AF851"/>
    <mergeCell ref="T848:AB848"/>
    <mergeCell ref="J850:S850"/>
    <mergeCell ref="J852:S852"/>
    <mergeCell ref="AE849:AF849"/>
    <mergeCell ref="T869:AB869"/>
    <mergeCell ref="C869:I869"/>
    <mergeCell ref="J866:S866"/>
    <mergeCell ref="T867:AB867"/>
    <mergeCell ref="T866:AB866"/>
    <mergeCell ref="C866:I866"/>
    <mergeCell ref="C867:I867"/>
    <mergeCell ref="J867:S867"/>
    <mergeCell ref="J869:S869"/>
    <mergeCell ref="C868:I868"/>
    <mergeCell ref="J860:S860"/>
    <mergeCell ref="J863:S864"/>
    <mergeCell ref="C861:AG861"/>
    <mergeCell ref="AE860:AF860"/>
    <mergeCell ref="AC859:AD859"/>
    <mergeCell ref="AC858:AD858"/>
    <mergeCell ref="AE858:AF858"/>
    <mergeCell ref="T859:AB859"/>
    <mergeCell ref="AE859:AF859"/>
    <mergeCell ref="C859:I859"/>
    <mergeCell ref="C858:I858"/>
    <mergeCell ref="J858:S858"/>
    <mergeCell ref="T858:AB858"/>
    <mergeCell ref="T865:AB865"/>
    <mergeCell ref="AE838:AF838"/>
    <mergeCell ref="T841:AB841"/>
    <mergeCell ref="T846:AB846"/>
    <mergeCell ref="AC867:AD867"/>
    <mergeCell ref="AE854:AF854"/>
    <mergeCell ref="AE855:AF855"/>
    <mergeCell ref="T852:AB852"/>
    <mergeCell ref="AC854:AD854"/>
    <mergeCell ref="T868:AB868"/>
    <mergeCell ref="C865:I865"/>
    <mergeCell ref="C860:I860"/>
    <mergeCell ref="C863:I864"/>
    <mergeCell ref="T860:AB860"/>
    <mergeCell ref="T863:AB864"/>
    <mergeCell ref="J865:S865"/>
    <mergeCell ref="D862:AF862"/>
    <mergeCell ref="AC860:AD860"/>
    <mergeCell ref="AC865:AD865"/>
    <mergeCell ref="C855:I855"/>
    <mergeCell ref="J857:S857"/>
    <mergeCell ref="T856:AB856"/>
    <mergeCell ref="J855:S855"/>
    <mergeCell ref="C857:I857"/>
    <mergeCell ref="C856:I856"/>
    <mergeCell ref="J856:S856"/>
    <mergeCell ref="C854:I854"/>
    <mergeCell ref="AE853:AF853"/>
    <mergeCell ref="AC857:AD857"/>
    <mergeCell ref="AC856:AD856"/>
    <mergeCell ref="J854:S854"/>
    <mergeCell ref="T857:AB857"/>
    <mergeCell ref="M769:V769"/>
    <mergeCell ref="AC774:AD774"/>
    <mergeCell ref="P778:AG778"/>
    <mergeCell ref="V793:Z793"/>
    <mergeCell ref="W769:AF769"/>
    <mergeCell ref="V794:Z794"/>
    <mergeCell ref="W770:AF770"/>
    <mergeCell ref="AC782:AD782"/>
    <mergeCell ref="AA791:AE791"/>
    <mergeCell ref="AA789:AE789"/>
    <mergeCell ref="C841:I841"/>
    <mergeCell ref="C846:I846"/>
    <mergeCell ref="AC832:AD832"/>
    <mergeCell ref="AE834:AF834"/>
    <mergeCell ref="AC834:AD834"/>
    <mergeCell ref="T844:AB845"/>
    <mergeCell ref="J846:S846"/>
    <mergeCell ref="C839:I839"/>
    <mergeCell ref="AC846:AD846"/>
    <mergeCell ref="AE841:AF841"/>
    <mergeCell ref="AE839:AF839"/>
    <mergeCell ref="V788:Z788"/>
    <mergeCell ref="C822:I822"/>
    <mergeCell ref="J797:U797"/>
    <mergeCell ref="C817:AG817"/>
    <mergeCell ref="AA797:AE797"/>
    <mergeCell ref="C818:AG818"/>
    <mergeCell ref="C816:AG816"/>
    <mergeCell ref="V800:Z800"/>
    <mergeCell ref="J801:U801"/>
    <mergeCell ref="C826:I826"/>
    <mergeCell ref="E799:I801"/>
    <mergeCell ref="W364:Z364"/>
    <mergeCell ref="W362:Z362"/>
    <mergeCell ref="Q364:V364"/>
    <mergeCell ref="L382:N383"/>
    <mergeCell ref="C676:I676"/>
    <mergeCell ref="J671:M671"/>
    <mergeCell ref="O672:Q672"/>
    <mergeCell ref="C671:I671"/>
    <mergeCell ref="C678:AE678"/>
    <mergeCell ref="R674:X674"/>
    <mergeCell ref="Y671:AB671"/>
    <mergeCell ref="J675:M675"/>
    <mergeCell ref="J673:M673"/>
    <mergeCell ref="C674:I674"/>
    <mergeCell ref="C672:I672"/>
    <mergeCell ref="C632:F632"/>
    <mergeCell ref="N708:O708"/>
    <mergeCell ref="M651:Q651"/>
    <mergeCell ref="V650:Z650"/>
    <mergeCell ref="S652:U652"/>
    <mergeCell ref="J669:N669"/>
    <mergeCell ref="G705:M705"/>
    <mergeCell ref="M652:Q652"/>
    <mergeCell ref="M653:Q653"/>
    <mergeCell ref="I687:L687"/>
    <mergeCell ref="G701:O701"/>
    <mergeCell ref="M687:P687"/>
    <mergeCell ref="D697:AC697"/>
    <mergeCell ref="C696:AG696"/>
    <mergeCell ref="G704:M704"/>
    <mergeCell ref="C702:F703"/>
    <mergeCell ref="X469:AA469"/>
    <mergeCell ref="AA359:AD359"/>
    <mergeCell ref="Q361:V361"/>
    <mergeCell ref="K354:P354"/>
    <mergeCell ref="K355:P355"/>
    <mergeCell ref="K361:P361"/>
    <mergeCell ref="Q359:V359"/>
    <mergeCell ref="W359:Z359"/>
    <mergeCell ref="AA358:AD358"/>
    <mergeCell ref="W357:Z357"/>
    <mergeCell ref="I382:K383"/>
    <mergeCell ref="C360:J361"/>
    <mergeCell ref="K360:P360"/>
    <mergeCell ref="C357:J359"/>
    <mergeCell ref="K356:P356"/>
    <mergeCell ref="K359:P359"/>
    <mergeCell ref="O382:T384"/>
    <mergeCell ref="K365:P365"/>
    <mergeCell ref="F374:AG374"/>
    <mergeCell ref="I384:K384"/>
    <mergeCell ref="AE359:AG359"/>
    <mergeCell ref="AE358:AG358"/>
    <mergeCell ref="Q358:V358"/>
    <mergeCell ref="W361:Z361"/>
    <mergeCell ref="AA363:AD363"/>
    <mergeCell ref="W363:Z363"/>
    <mergeCell ref="AE360:AG360"/>
    <mergeCell ref="G379:AF379"/>
    <mergeCell ref="AE364:AG364"/>
    <mergeCell ref="U382:AA384"/>
    <mergeCell ref="AE377:AF377"/>
    <mergeCell ref="AB382:AG382"/>
    <mergeCell ref="Q362:V362"/>
    <mergeCell ref="AB266:AF267"/>
    <mergeCell ref="AD280:AE280"/>
    <mergeCell ref="K342:P342"/>
    <mergeCell ref="K333:P333"/>
    <mergeCell ref="Z268:AF268"/>
    <mergeCell ref="AA352:AD352"/>
    <mergeCell ref="C261:AA261"/>
    <mergeCell ref="C346:J348"/>
    <mergeCell ref="Q344:V344"/>
    <mergeCell ref="AA348:AD348"/>
    <mergeCell ref="Q346:V346"/>
    <mergeCell ref="W343:Z343"/>
    <mergeCell ref="AA343:AD343"/>
    <mergeCell ref="K340:P340"/>
    <mergeCell ref="K344:P344"/>
    <mergeCell ref="AA357:AD357"/>
    <mergeCell ref="Q356:V356"/>
    <mergeCell ref="W356:Z356"/>
    <mergeCell ref="Q357:V357"/>
    <mergeCell ref="AA356:AD356"/>
    <mergeCell ref="W355:Z355"/>
    <mergeCell ref="AE356:AG356"/>
    <mergeCell ref="AE354:AG354"/>
    <mergeCell ref="C356:J356"/>
    <mergeCell ref="K357:P357"/>
    <mergeCell ref="W346:Z346"/>
    <mergeCell ref="AE355:AG355"/>
    <mergeCell ref="K347:P347"/>
    <mergeCell ref="Q349:V349"/>
    <mergeCell ref="AA347:AD347"/>
    <mergeCell ref="W352:Z352"/>
    <mergeCell ref="AA355:AD355"/>
    <mergeCell ref="L187:N187"/>
    <mergeCell ref="L186:N186"/>
    <mergeCell ref="L195:N195"/>
    <mergeCell ref="L191:N193"/>
    <mergeCell ref="C196:K196"/>
    <mergeCell ref="C191:K192"/>
    <mergeCell ref="L189:N189"/>
    <mergeCell ref="U242:AG242"/>
    <mergeCell ref="C235:M235"/>
    <mergeCell ref="L185:N185"/>
    <mergeCell ref="O195:AC195"/>
    <mergeCell ref="AD192:AG193"/>
    <mergeCell ref="O192:AC194"/>
    <mergeCell ref="C185:K185"/>
    <mergeCell ref="L188:N188"/>
    <mergeCell ref="L197:N197"/>
    <mergeCell ref="O199:AC199"/>
    <mergeCell ref="N236:T236"/>
    <mergeCell ref="U235:AG235"/>
    <mergeCell ref="N235:T235"/>
    <mergeCell ref="U239:AG239"/>
    <mergeCell ref="C238:M238"/>
    <mergeCell ref="U236:AG236"/>
    <mergeCell ref="N239:T239"/>
    <mergeCell ref="AD231:AG231"/>
    <mergeCell ref="L211:N211"/>
    <mergeCell ref="O217:AC217"/>
    <mergeCell ref="O210:AC210"/>
    <mergeCell ref="O214:AC214"/>
    <mergeCell ref="O215:AC215"/>
    <mergeCell ref="O211:AC211"/>
    <mergeCell ref="L206:N206"/>
    <mergeCell ref="C207:K207"/>
    <mergeCell ref="L210:N210"/>
    <mergeCell ref="L207:N207"/>
    <mergeCell ref="C202:K202"/>
    <mergeCell ref="O206:AC206"/>
    <mergeCell ref="C206:K206"/>
    <mergeCell ref="C218:K218"/>
    <mergeCell ref="L215:N215"/>
    <mergeCell ref="C215:K215"/>
    <mergeCell ref="C217:K217"/>
    <mergeCell ref="L204:N204"/>
    <mergeCell ref="L203:N203"/>
    <mergeCell ref="C204:K204"/>
    <mergeCell ref="C212:K212"/>
    <mergeCell ref="L214:N214"/>
    <mergeCell ref="C210:K210"/>
    <mergeCell ref="O78:AG78"/>
    <mergeCell ref="AD184:AG184"/>
    <mergeCell ref="AC167:AD167"/>
    <mergeCell ref="U178:AF179"/>
    <mergeCell ref="C178:Q178"/>
    <mergeCell ref="AD194:AG194"/>
    <mergeCell ref="C193:K194"/>
    <mergeCell ref="AD195:AG195"/>
    <mergeCell ref="AD196:AG196"/>
    <mergeCell ref="C199:K199"/>
    <mergeCell ref="AD186:AG186"/>
    <mergeCell ref="C187:K187"/>
    <mergeCell ref="C186:K186"/>
    <mergeCell ref="AD189:AG189"/>
    <mergeCell ref="O186:AC186"/>
    <mergeCell ref="O191:AG191"/>
    <mergeCell ref="L201:N201"/>
    <mergeCell ref="L198:N198"/>
    <mergeCell ref="L200:N200"/>
    <mergeCell ref="C198:K198"/>
    <mergeCell ref="C197:K197"/>
    <mergeCell ref="C195:K195"/>
    <mergeCell ref="L199:N199"/>
    <mergeCell ref="L194:N194"/>
    <mergeCell ref="C132:AG132"/>
    <mergeCell ref="C200:K200"/>
    <mergeCell ref="C201:K201"/>
    <mergeCell ref="O185:AC185"/>
    <mergeCell ref="O201:AC201"/>
    <mergeCell ref="L196:N196"/>
    <mergeCell ref="C188:K188"/>
    <mergeCell ref="AD185:AG185"/>
    <mergeCell ref="O92:AG92"/>
    <mergeCell ref="O93:AG93"/>
    <mergeCell ref="C92:N92"/>
    <mergeCell ref="O79:AG79"/>
    <mergeCell ref="C91:AG91"/>
    <mergeCell ref="O85:V85"/>
    <mergeCell ref="AA84:AG84"/>
    <mergeCell ref="C89:N89"/>
    <mergeCell ref="O83:AG83"/>
    <mergeCell ref="C83:N83"/>
    <mergeCell ref="C88:N88"/>
    <mergeCell ref="E154:AG154"/>
    <mergeCell ref="O182:AC184"/>
    <mergeCell ref="C183:K184"/>
    <mergeCell ref="L184:N184"/>
    <mergeCell ref="C80:N80"/>
    <mergeCell ref="C130:AG130"/>
    <mergeCell ref="F101:W101"/>
    <mergeCell ref="C105:K105"/>
    <mergeCell ref="C96:N96"/>
    <mergeCell ref="O97:AG97"/>
    <mergeCell ref="O80:U80"/>
    <mergeCell ref="E66:AG66"/>
    <mergeCell ref="E65:AG65"/>
    <mergeCell ref="G64:AG64"/>
    <mergeCell ref="G71:AG71"/>
    <mergeCell ref="G70:AG70"/>
    <mergeCell ref="E73:AG73"/>
    <mergeCell ref="C35:N35"/>
    <mergeCell ref="E53:AF53"/>
    <mergeCell ref="O36:Q36"/>
    <mergeCell ref="K47:AG47"/>
    <mergeCell ref="C45:J45"/>
    <mergeCell ref="O40:Q40"/>
    <mergeCell ref="AE37:AG37"/>
    <mergeCell ref="AA36:AG36"/>
    <mergeCell ref="AE41:AG41"/>
    <mergeCell ref="C48:J48"/>
    <mergeCell ref="C75:N75"/>
    <mergeCell ref="E68:AG68"/>
    <mergeCell ref="G55:AF55"/>
    <mergeCell ref="G56:AF56"/>
    <mergeCell ref="G69:AG69"/>
    <mergeCell ref="E61:AG61"/>
    <mergeCell ref="E72:AG72"/>
    <mergeCell ref="G59:AE59"/>
    <mergeCell ref="G58:AE58"/>
    <mergeCell ref="R32:Z32"/>
    <mergeCell ref="O25:U25"/>
    <mergeCell ref="C27:N27"/>
    <mergeCell ref="V25:Z25"/>
    <mergeCell ref="C31:N31"/>
    <mergeCell ref="O31:AG31"/>
    <mergeCell ref="C28:N28"/>
    <mergeCell ref="AA32:AG32"/>
    <mergeCell ref="R40:Z40"/>
    <mergeCell ref="K45:AG45"/>
    <mergeCell ref="O41:V41"/>
    <mergeCell ref="K46:AG46"/>
    <mergeCell ref="W41:AD41"/>
    <mergeCell ref="AA40:AG40"/>
    <mergeCell ref="G63:AG63"/>
    <mergeCell ref="O37:V37"/>
    <mergeCell ref="C39:N39"/>
    <mergeCell ref="C47:J47"/>
    <mergeCell ref="Q48:AA48"/>
    <mergeCell ref="W37:AD37"/>
    <mergeCell ref="K48:P48"/>
    <mergeCell ref="C46:J46"/>
    <mergeCell ref="AB48:AG48"/>
    <mergeCell ref="E60:AF60"/>
    <mergeCell ref="G54:AF54"/>
    <mergeCell ref="G57:AE57"/>
    <mergeCell ref="E62:AG62"/>
    <mergeCell ref="C12:N12"/>
    <mergeCell ref="O16:Q16"/>
    <mergeCell ref="C13:N13"/>
    <mergeCell ref="O13:AG13"/>
    <mergeCell ref="C14:F16"/>
    <mergeCell ref="W17:AD17"/>
    <mergeCell ref="O17:V17"/>
    <mergeCell ref="C24:N24"/>
    <mergeCell ref="C22:G23"/>
    <mergeCell ref="AE20:AG20"/>
    <mergeCell ref="AE17:AG17"/>
    <mergeCell ref="O22:AG22"/>
    <mergeCell ref="C19:F20"/>
    <mergeCell ref="O23:AG23"/>
    <mergeCell ref="O32:Q32"/>
    <mergeCell ref="C25:N25"/>
    <mergeCell ref="O19:Y19"/>
    <mergeCell ref="O24:AG24"/>
    <mergeCell ref="G19:N19"/>
    <mergeCell ref="O20:V20"/>
    <mergeCell ref="Z19:AG19"/>
    <mergeCell ref="W20:AD20"/>
    <mergeCell ref="AA25:AG25"/>
    <mergeCell ref="V28:Z28"/>
    <mergeCell ref="O35:AG35"/>
    <mergeCell ref="R36:Z36"/>
    <mergeCell ref="O39:AG39"/>
    <mergeCell ref="AE33:AG33"/>
    <mergeCell ref="Z7:AG7"/>
    <mergeCell ref="O12:AG12"/>
    <mergeCell ref="W33:AD33"/>
    <mergeCell ref="AA27:AG27"/>
    <mergeCell ref="AA28:AG28"/>
    <mergeCell ref="V27:Z27"/>
    <mergeCell ref="O27:U27"/>
    <mergeCell ref="O28:U28"/>
    <mergeCell ref="O33:V33"/>
    <mergeCell ref="Z10:AG10"/>
    <mergeCell ref="Z8:AG8"/>
    <mergeCell ref="S10:Y10"/>
    <mergeCell ref="Z9:AG9"/>
    <mergeCell ref="Z16:AG16"/>
    <mergeCell ref="R16:Y16"/>
    <mergeCell ref="O14:AG14"/>
    <mergeCell ref="L105:W105"/>
    <mergeCell ref="E144:P144"/>
    <mergeCell ref="AC153:AD153"/>
    <mergeCell ref="Q144:X144"/>
    <mergeCell ref="E136:AE136"/>
    <mergeCell ref="O94:AG94"/>
    <mergeCell ref="C177:AG177"/>
    <mergeCell ref="C181:K182"/>
    <mergeCell ref="AC150:AD150"/>
    <mergeCell ref="E138:AE138"/>
    <mergeCell ref="O181:AG181"/>
    <mergeCell ref="U96:Z96"/>
    <mergeCell ref="O96:T96"/>
    <mergeCell ref="C101:E101"/>
    <mergeCell ref="C76:N76"/>
    <mergeCell ref="R84:Z84"/>
    <mergeCell ref="C77:N77"/>
    <mergeCell ref="W103:AD103"/>
    <mergeCell ref="C103:V103"/>
    <mergeCell ref="C97:N97"/>
    <mergeCell ref="O89:AG89"/>
    <mergeCell ref="C93:N93"/>
    <mergeCell ref="O88:AG88"/>
    <mergeCell ref="C94:N94"/>
    <mergeCell ref="O75:AG76"/>
    <mergeCell ref="C78:N78"/>
    <mergeCell ref="C79:N79"/>
    <mergeCell ref="O77:AG77"/>
    <mergeCell ref="C95:N95"/>
    <mergeCell ref="O95:AG95"/>
    <mergeCell ref="AA96:AG96"/>
    <mergeCell ref="O84:Q84"/>
    <mergeCell ref="L226:N226"/>
    <mergeCell ref="C226:K226"/>
    <mergeCell ref="C229:K229"/>
    <mergeCell ref="C239:M239"/>
    <mergeCell ref="C255:AA255"/>
    <mergeCell ref="C221:K221"/>
    <mergeCell ref="L222:N222"/>
    <mergeCell ref="L221:N221"/>
    <mergeCell ref="C222:K222"/>
    <mergeCell ref="U243:AG243"/>
    <mergeCell ref="C237:M237"/>
    <mergeCell ref="L224:N224"/>
    <mergeCell ref="AB255:AF255"/>
    <mergeCell ref="C225:K225"/>
    <mergeCell ref="O188:AC188"/>
    <mergeCell ref="C166:X166"/>
    <mergeCell ref="R178:S178"/>
    <mergeCell ref="C169:D169"/>
    <mergeCell ref="AD188:AG188"/>
    <mergeCell ref="AD187:AG187"/>
    <mergeCell ref="O189:AC189"/>
    <mergeCell ref="C189:K189"/>
    <mergeCell ref="L202:N202"/>
    <mergeCell ref="C209:K209"/>
    <mergeCell ref="C208:K208"/>
    <mergeCell ref="L208:N208"/>
    <mergeCell ref="L209:N209"/>
    <mergeCell ref="C203:K203"/>
    <mergeCell ref="C211:K211"/>
    <mergeCell ref="L217:N217"/>
    <mergeCell ref="L218:N218"/>
    <mergeCell ref="O209:AC209"/>
    <mergeCell ref="K349:P349"/>
    <mergeCell ref="C342:J343"/>
    <mergeCell ref="K353:P353"/>
    <mergeCell ref="C256:AA256"/>
    <mergeCell ref="C240:M240"/>
    <mergeCell ref="C268:Y268"/>
    <mergeCell ref="C271:Y271"/>
    <mergeCell ref="AB260:AF260"/>
    <mergeCell ref="C251:AA251"/>
    <mergeCell ref="AB259:AF259"/>
    <mergeCell ref="C257:AA257"/>
    <mergeCell ref="AB256:AF256"/>
    <mergeCell ref="AB252:AF252"/>
    <mergeCell ref="AB249:AF249"/>
    <mergeCell ref="AB253:AF253"/>
    <mergeCell ref="AB251:AF251"/>
    <mergeCell ref="C258:AA258"/>
    <mergeCell ref="C245:AG245"/>
    <mergeCell ref="N241:T241"/>
    <mergeCell ref="N240:T240"/>
    <mergeCell ref="N242:T242"/>
    <mergeCell ref="N243:T243"/>
    <mergeCell ref="C252:AA252"/>
    <mergeCell ref="AB250:AF250"/>
    <mergeCell ref="AB254:AF254"/>
    <mergeCell ref="Z284:AG284"/>
    <mergeCell ref="W288:AG288"/>
    <mergeCell ref="AB261:AF261"/>
    <mergeCell ref="C253:AA253"/>
    <mergeCell ref="K345:P345"/>
    <mergeCell ref="C270:Y270"/>
    <mergeCell ref="W290:AG290"/>
    <mergeCell ref="C402:H404"/>
    <mergeCell ref="I402:K404"/>
    <mergeCell ref="O402:T402"/>
    <mergeCell ref="U407:AA407"/>
    <mergeCell ref="C408:H410"/>
    <mergeCell ref="U409:AA409"/>
    <mergeCell ref="O409:T409"/>
    <mergeCell ref="U410:AA410"/>
    <mergeCell ref="L402:N404"/>
    <mergeCell ref="O401:T401"/>
    <mergeCell ref="C263:AA263"/>
    <mergeCell ref="D300:E300"/>
    <mergeCell ref="W291:AG291"/>
    <mergeCell ref="AE357:AG357"/>
    <mergeCell ref="C269:Y269"/>
    <mergeCell ref="L397:N398"/>
    <mergeCell ref="K364:P364"/>
    <mergeCell ref="U400:AA400"/>
    <mergeCell ref="O400:T400"/>
    <mergeCell ref="I399:K401"/>
    <mergeCell ref="U399:AA399"/>
    <mergeCell ref="I397:K398"/>
    <mergeCell ref="C399:H401"/>
    <mergeCell ref="U397:AA397"/>
    <mergeCell ref="O397:T397"/>
    <mergeCell ref="L399:N401"/>
    <mergeCell ref="U401:AA401"/>
    <mergeCell ref="U392:AA392"/>
    <mergeCell ref="C354:J355"/>
    <mergeCell ref="AE363:AG363"/>
    <mergeCell ref="Z270:AF270"/>
    <mergeCell ref="W344:Z344"/>
    <mergeCell ref="AB415:AG415"/>
    <mergeCell ref="U413:AA413"/>
    <mergeCell ref="AB410:AG410"/>
    <mergeCell ref="C411:H413"/>
    <mergeCell ref="O415:T415"/>
    <mergeCell ref="O412:T412"/>
    <mergeCell ref="AB413:AG413"/>
    <mergeCell ref="AB414:AG414"/>
    <mergeCell ref="AB411:AG411"/>
    <mergeCell ref="O413:T413"/>
    <mergeCell ref="AB412:AG412"/>
    <mergeCell ref="U412:AA412"/>
    <mergeCell ref="O411:T411"/>
    <mergeCell ref="I411:K413"/>
    <mergeCell ref="L411:N413"/>
    <mergeCell ref="I408:K410"/>
    <mergeCell ref="U411:AA411"/>
    <mergeCell ref="O408:T408"/>
    <mergeCell ref="AB408:AG408"/>
    <mergeCell ref="U408:AA408"/>
    <mergeCell ref="AB409:AG409"/>
    <mergeCell ref="E580:M580"/>
    <mergeCell ref="AD614:AE614"/>
    <mergeCell ref="S610:AF610"/>
    <mergeCell ref="S609:AF609"/>
    <mergeCell ref="E609:R609"/>
    <mergeCell ref="AD603:AE603"/>
    <mergeCell ref="AD605:AE605"/>
    <mergeCell ref="X433:AG433"/>
    <mergeCell ref="X460:AG460"/>
    <mergeCell ref="C482:F485"/>
    <mergeCell ref="P475:W475"/>
    <mergeCell ref="P468:W468"/>
    <mergeCell ref="P478:W478"/>
    <mergeCell ref="P476:W476"/>
    <mergeCell ref="P472:W472"/>
    <mergeCell ref="P473:W473"/>
    <mergeCell ref="C433:F434"/>
    <mergeCell ref="P469:W469"/>
    <mergeCell ref="M452:O452"/>
    <mergeCell ref="C477:L477"/>
    <mergeCell ref="C471:L471"/>
    <mergeCell ref="C468:L469"/>
    <mergeCell ref="P458:W458"/>
    <mergeCell ref="G456:L456"/>
    <mergeCell ref="P456:W456"/>
    <mergeCell ref="P452:W452"/>
    <mergeCell ref="M464:O467"/>
    <mergeCell ref="G434:L434"/>
    <mergeCell ref="G433:L433"/>
    <mergeCell ref="P433:W433"/>
    <mergeCell ref="M457:O457"/>
    <mergeCell ref="X455:AG455"/>
    <mergeCell ref="Q694:W694"/>
    <mergeCell ref="T686:AA686"/>
    <mergeCell ref="AC690:AE690"/>
    <mergeCell ref="V690:Z690"/>
    <mergeCell ref="C405:H407"/>
    <mergeCell ref="L405:N407"/>
    <mergeCell ref="I405:K407"/>
    <mergeCell ref="O406:T406"/>
    <mergeCell ref="L408:N410"/>
    <mergeCell ref="O405:T405"/>
    <mergeCell ref="O407:T407"/>
    <mergeCell ref="O410:T410"/>
    <mergeCell ref="X475:AA475"/>
    <mergeCell ref="AC471:AF471"/>
    <mergeCell ref="X476:AA476"/>
    <mergeCell ref="AC477:AF477"/>
    <mergeCell ref="X477:AA477"/>
    <mergeCell ref="AC475:AF475"/>
    <mergeCell ref="X474:AA474"/>
    <mergeCell ref="AC474:AF474"/>
    <mergeCell ref="N577:S577"/>
    <mergeCell ref="V588:Z588"/>
    <mergeCell ref="P488:Z488"/>
    <mergeCell ref="N579:S579"/>
    <mergeCell ref="V586:AF586"/>
    <mergeCell ref="AD584:AE584"/>
    <mergeCell ref="T576:AF576"/>
    <mergeCell ref="AE552:AG552"/>
    <mergeCell ref="P554:W554"/>
    <mergeCell ref="P555:W555"/>
    <mergeCell ref="AD616:AE616"/>
    <mergeCell ref="E583:AC584"/>
    <mergeCell ref="J672:M672"/>
    <mergeCell ref="J670:L670"/>
    <mergeCell ref="O671:Q671"/>
    <mergeCell ref="R673:X673"/>
    <mergeCell ref="E589:O589"/>
    <mergeCell ref="C620:F620"/>
    <mergeCell ref="C648:L649"/>
    <mergeCell ref="V656:Z656"/>
    <mergeCell ref="V655:Z655"/>
    <mergeCell ref="M685:O685"/>
    <mergeCell ref="R679:Y679"/>
    <mergeCell ref="R680:AA680"/>
    <mergeCell ref="M663:Q663"/>
    <mergeCell ref="M670:N670"/>
    <mergeCell ref="C681:Q681"/>
    <mergeCell ref="AB680:AE680"/>
    <mergeCell ref="AB686:AD687"/>
    <mergeCell ref="R682:AA682"/>
    <mergeCell ref="E611:R611"/>
    <mergeCell ref="M654:Q654"/>
    <mergeCell ref="M656:Q656"/>
    <mergeCell ref="Q640:R640"/>
    <mergeCell ref="V638:Y638"/>
    <mergeCell ref="AD638:AE638"/>
    <mergeCell ref="S648:U649"/>
    <mergeCell ref="M648:R648"/>
    <mergeCell ref="M650:Q650"/>
    <mergeCell ref="V654:Z654"/>
    <mergeCell ref="S655:U655"/>
    <mergeCell ref="V659:Z659"/>
    <mergeCell ref="AD197:AG197"/>
    <mergeCell ref="O198:AC198"/>
    <mergeCell ref="AD198:AG198"/>
    <mergeCell ref="S653:U653"/>
    <mergeCell ref="V649:Y649"/>
    <mergeCell ref="AD607:AE607"/>
    <mergeCell ref="Y640:Z640"/>
    <mergeCell ref="V652:Z652"/>
    <mergeCell ref="O212:AC212"/>
    <mergeCell ref="U240:AG240"/>
    <mergeCell ref="AD675:AF675"/>
    <mergeCell ref="Y673:AB673"/>
    <mergeCell ref="AD672:AF672"/>
    <mergeCell ref="AD671:AF671"/>
    <mergeCell ref="AD669:AF670"/>
    <mergeCell ref="AA589:AF589"/>
    <mergeCell ref="AB655:AG659"/>
    <mergeCell ref="V657:Z657"/>
    <mergeCell ref="AC473:AF473"/>
    <mergeCell ref="R675:X675"/>
    <mergeCell ref="O674:Q674"/>
    <mergeCell ref="O669:Q670"/>
    <mergeCell ref="M432:O432"/>
    <mergeCell ref="AD424:AE424"/>
    <mergeCell ref="X442:AG442"/>
    <mergeCell ref="X437:AG437"/>
    <mergeCell ref="X438:AG438"/>
    <mergeCell ref="X454:AG454"/>
    <mergeCell ref="P431:W431"/>
    <mergeCell ref="F428:AF428"/>
    <mergeCell ref="AD419:AE419"/>
    <mergeCell ref="AE85:AG85"/>
    <mergeCell ref="O86:AG86"/>
    <mergeCell ref="O228:AC228"/>
    <mergeCell ref="O227:AC227"/>
    <mergeCell ref="O158:W158"/>
    <mergeCell ref="AD210:AG210"/>
    <mergeCell ref="O202:AC202"/>
    <mergeCell ref="AD229:AG229"/>
    <mergeCell ref="L228:N228"/>
    <mergeCell ref="O226:AC226"/>
    <mergeCell ref="O224:AC224"/>
    <mergeCell ref="C227:K227"/>
    <mergeCell ref="L225:N225"/>
    <mergeCell ref="AD224:AG224"/>
    <mergeCell ref="AD227:AG227"/>
    <mergeCell ref="O230:AC230"/>
    <mergeCell ref="AD228:AG228"/>
    <mergeCell ref="L223:N223"/>
    <mergeCell ref="AD215:AG215"/>
    <mergeCell ref="O225:AC225"/>
    <mergeCell ref="L212:N212"/>
    <mergeCell ref="L227:N227"/>
    <mergeCell ref="L219:N219"/>
    <mergeCell ref="L220:N220"/>
    <mergeCell ref="O219:AC219"/>
    <mergeCell ref="O229:AC229"/>
    <mergeCell ref="AD230:AG230"/>
    <mergeCell ref="L229:N229"/>
    <mergeCell ref="L230:N230"/>
    <mergeCell ref="C230:K230"/>
    <mergeCell ref="C224:K224"/>
    <mergeCell ref="AD226:AG226"/>
    <mergeCell ref="N237:T237"/>
    <mergeCell ref="C228:K228"/>
    <mergeCell ref="AE348:AG348"/>
    <mergeCell ref="AE347:AG347"/>
    <mergeCell ref="W348:Z348"/>
    <mergeCell ref="C213:K213"/>
    <mergeCell ref="L213:N213"/>
    <mergeCell ref="AD225:AG225"/>
    <mergeCell ref="AD219:AG219"/>
    <mergeCell ref="AD218:AG218"/>
    <mergeCell ref="AD223:AG223"/>
    <mergeCell ref="C220:K220"/>
    <mergeCell ref="C242:M242"/>
    <mergeCell ref="C262:AA262"/>
    <mergeCell ref="AB314:AE314"/>
    <mergeCell ref="AD274:AE274"/>
    <mergeCell ref="C325:J326"/>
    <mergeCell ref="AE321:AG322"/>
    <mergeCell ref="R282:AF282"/>
    <mergeCell ref="AD276:AE276"/>
    <mergeCell ref="U318:AG318"/>
    <mergeCell ref="W323:Z323"/>
    <mergeCell ref="AD222:AG222"/>
    <mergeCell ref="C259:AA259"/>
    <mergeCell ref="AB258:AF258"/>
    <mergeCell ref="N234:T234"/>
    <mergeCell ref="U234:AG234"/>
    <mergeCell ref="C231:K231"/>
    <mergeCell ref="L231:N231"/>
    <mergeCell ref="C236:M236"/>
    <mergeCell ref="C234:M234"/>
    <mergeCell ref="O231:AC231"/>
    <mergeCell ref="C128:AG128"/>
    <mergeCell ref="E158:M158"/>
    <mergeCell ref="E156:M156"/>
    <mergeCell ref="C100:AF100"/>
    <mergeCell ref="J146:AG146"/>
    <mergeCell ref="C134:AC134"/>
    <mergeCell ref="O156:W156"/>
    <mergeCell ref="Y156:AG156"/>
    <mergeCell ref="AC165:AD165"/>
    <mergeCell ref="Z147:AG147"/>
    <mergeCell ref="AD209:AG209"/>
    <mergeCell ref="O197:AC197"/>
    <mergeCell ref="AD203:AG203"/>
    <mergeCell ref="AD201:AG201"/>
    <mergeCell ref="AD206:AG206"/>
    <mergeCell ref="O200:AC200"/>
    <mergeCell ref="Z144:AG144"/>
    <mergeCell ref="AC148:AD148"/>
    <mergeCell ref="AC161:AD161"/>
    <mergeCell ref="D175:Y175"/>
    <mergeCell ref="O187:AC187"/>
    <mergeCell ref="L181:N183"/>
    <mergeCell ref="AD182:AG183"/>
    <mergeCell ref="AD208:AG208"/>
    <mergeCell ref="AD202:AG202"/>
    <mergeCell ref="O204:AC204"/>
    <mergeCell ref="O208:AC208"/>
    <mergeCell ref="O203:AC203"/>
    <mergeCell ref="AD207:AG207"/>
    <mergeCell ref="AC163:AD163"/>
    <mergeCell ref="C104:AG104"/>
    <mergeCell ref="C102:AG102"/>
    <mergeCell ref="O222:AC222"/>
    <mergeCell ref="U241:AG241"/>
    <mergeCell ref="U237:AG237"/>
    <mergeCell ref="N238:T238"/>
    <mergeCell ref="W354:Z354"/>
    <mergeCell ref="AB265:AF265"/>
    <mergeCell ref="C266:AA266"/>
    <mergeCell ref="O223:AC223"/>
    <mergeCell ref="O196:AC196"/>
    <mergeCell ref="AD220:AG220"/>
    <mergeCell ref="AD204:AG204"/>
    <mergeCell ref="AD200:AG200"/>
    <mergeCell ref="AD199:AG199"/>
    <mergeCell ref="O207:AC207"/>
    <mergeCell ref="AD214:AG214"/>
    <mergeCell ref="C131:AG131"/>
    <mergeCell ref="Y158:AG158"/>
    <mergeCell ref="O213:AC213"/>
    <mergeCell ref="AD212:AG212"/>
    <mergeCell ref="AD211:AG211"/>
    <mergeCell ref="C223:K223"/>
    <mergeCell ref="AD217:AG217"/>
    <mergeCell ref="C219:K219"/>
    <mergeCell ref="AD221:AG221"/>
    <mergeCell ref="C214:K214"/>
    <mergeCell ref="O218:AC218"/>
    <mergeCell ref="C260:AA260"/>
    <mergeCell ref="AD213:AG213"/>
    <mergeCell ref="O220:AC220"/>
    <mergeCell ref="O221:AC221"/>
    <mergeCell ref="U238:AG238"/>
    <mergeCell ref="C241:M241"/>
    <mergeCell ref="E579:M579"/>
    <mergeCell ref="N572:Y572"/>
    <mergeCell ref="C546:L551"/>
    <mergeCell ref="X473:AA473"/>
    <mergeCell ref="E577:M577"/>
    <mergeCell ref="E571:M571"/>
    <mergeCell ref="N576:S576"/>
    <mergeCell ref="C552:L556"/>
    <mergeCell ref="X549:AG549"/>
    <mergeCell ref="X548:AG548"/>
    <mergeCell ref="C385:H387"/>
    <mergeCell ref="O398:T398"/>
    <mergeCell ref="AB257:AF257"/>
    <mergeCell ref="AB262:AF262"/>
    <mergeCell ref="C264:AA264"/>
    <mergeCell ref="L384:N384"/>
    <mergeCell ref="R380:AG380"/>
    <mergeCell ref="AE370:AF370"/>
    <mergeCell ref="C397:H398"/>
    <mergeCell ref="C382:H384"/>
    <mergeCell ref="AE368:AF368"/>
    <mergeCell ref="C364:J365"/>
    <mergeCell ref="F416:AA416"/>
    <mergeCell ref="C414:H415"/>
    <mergeCell ref="AD417:AE417"/>
    <mergeCell ref="I414:K415"/>
    <mergeCell ref="F422:AF422"/>
    <mergeCell ref="O414:T414"/>
    <mergeCell ref="G421:W421"/>
    <mergeCell ref="U414:AA414"/>
    <mergeCell ref="L414:N415"/>
    <mergeCell ref="U415:AA415"/>
    <mergeCell ref="AD676:AF676"/>
    <mergeCell ref="Y669:AC669"/>
    <mergeCell ref="V661:Z661"/>
    <mergeCell ref="Y670:AA670"/>
    <mergeCell ref="Y672:AB672"/>
    <mergeCell ref="AB682:AE682"/>
    <mergeCell ref="AB670:AC670"/>
    <mergeCell ref="AD673:AF673"/>
    <mergeCell ref="R676:X676"/>
    <mergeCell ref="S662:U662"/>
    <mergeCell ref="C896:H896"/>
    <mergeCell ref="T870:AB870"/>
    <mergeCell ref="T877:AB877"/>
    <mergeCell ref="C895:H895"/>
    <mergeCell ref="AB681:AE681"/>
    <mergeCell ref="AE872:AF872"/>
    <mergeCell ref="AC875:AD875"/>
    <mergeCell ref="AE884:AF884"/>
    <mergeCell ref="T883:AB883"/>
    <mergeCell ref="R681:AA681"/>
    <mergeCell ref="V662:Z662"/>
    <mergeCell ref="R671:X671"/>
    <mergeCell ref="V663:Z663"/>
    <mergeCell ref="S663:U663"/>
    <mergeCell ref="C673:I673"/>
    <mergeCell ref="J676:M676"/>
    <mergeCell ref="O676:Q676"/>
    <mergeCell ref="O673:Q673"/>
    <mergeCell ref="Y675:AB675"/>
    <mergeCell ref="O675:Q675"/>
    <mergeCell ref="C675:I675"/>
    <mergeCell ref="C669:I670"/>
    <mergeCell ref="AE871:AF871"/>
    <mergeCell ref="T878:AB878"/>
    <mergeCell ref="AE875:AF875"/>
    <mergeCell ref="T876:AB876"/>
    <mergeCell ref="AC874:AD874"/>
    <mergeCell ref="AC876:AD876"/>
    <mergeCell ref="T873:AB873"/>
    <mergeCell ref="AC871:AD871"/>
    <mergeCell ref="T874:AB874"/>
    <mergeCell ref="AC873:AD873"/>
    <mergeCell ref="C905:N905"/>
    <mergeCell ref="J884:S884"/>
    <mergeCell ref="C898:H898"/>
    <mergeCell ref="I898:L898"/>
    <mergeCell ref="D904:AF904"/>
    <mergeCell ref="I895:L895"/>
    <mergeCell ref="I890:L891"/>
    <mergeCell ref="AC884:AD884"/>
    <mergeCell ref="T884:AB884"/>
    <mergeCell ref="I901:L901"/>
    <mergeCell ref="T881:AB881"/>
    <mergeCell ref="J882:S882"/>
    <mergeCell ref="J875:S875"/>
    <mergeCell ref="J873:S873"/>
    <mergeCell ref="C873:I873"/>
    <mergeCell ref="T875:AB875"/>
    <mergeCell ref="C872:I872"/>
    <mergeCell ref="C900:H900"/>
    <mergeCell ref="C899:H899"/>
    <mergeCell ref="M900:AG900"/>
    <mergeCell ref="I897:L897"/>
    <mergeCell ref="M898:AG898"/>
    <mergeCell ref="AE876:AF876"/>
    <mergeCell ref="M897:AG897"/>
    <mergeCell ref="I900:L900"/>
    <mergeCell ref="C897:H897"/>
    <mergeCell ref="I899:L899"/>
    <mergeCell ref="T882:AB882"/>
    <mergeCell ref="T880:AB880"/>
    <mergeCell ref="J881:S881"/>
    <mergeCell ref="AE878:AF878"/>
    <mergeCell ref="AC881:AD881"/>
    <mergeCell ref="AE874:AF874"/>
    <mergeCell ref="J6:R7"/>
    <mergeCell ref="AA906:AG906"/>
    <mergeCell ref="C886:AG886"/>
    <mergeCell ref="W915:AD915"/>
    <mergeCell ref="O913:AG913"/>
    <mergeCell ref="R914:Z914"/>
    <mergeCell ref="AE915:AG915"/>
    <mergeCell ref="W907:AD907"/>
    <mergeCell ref="BP1:BV1"/>
    <mergeCell ref="BP2:BV2"/>
    <mergeCell ref="O909:AG909"/>
    <mergeCell ref="C5:AF5"/>
    <mergeCell ref="C909:N909"/>
    <mergeCell ref="AC878:AD878"/>
    <mergeCell ref="C882:I882"/>
    <mergeCell ref="C892:H892"/>
    <mergeCell ref="M890:AG891"/>
    <mergeCell ref="M895:AG895"/>
    <mergeCell ref="O905:AG905"/>
    <mergeCell ref="C901:H901"/>
    <mergeCell ref="AE882:AF882"/>
    <mergeCell ref="AE880:AF880"/>
    <mergeCell ref="AE879:AF879"/>
    <mergeCell ref="AC882:AD882"/>
    <mergeCell ref="AC879:AD879"/>
    <mergeCell ref="T879:AB879"/>
    <mergeCell ref="C894:H894"/>
    <mergeCell ref="I894:L894"/>
    <mergeCell ref="C874:I874"/>
    <mergeCell ref="C875:I875"/>
    <mergeCell ref="J872:S872"/>
    <mergeCell ref="J876:S876"/>
    <mergeCell ref="C6:I7"/>
    <mergeCell ref="S8:Y9"/>
    <mergeCell ref="J8:R9"/>
    <mergeCell ref="C8:I9"/>
    <mergeCell ref="J10:R10"/>
    <mergeCell ref="S659:U659"/>
    <mergeCell ref="C10:I10"/>
    <mergeCell ref="M655:Q655"/>
    <mergeCell ref="S656:U656"/>
    <mergeCell ref="V587:AF587"/>
    <mergeCell ref="F1:AF1"/>
    <mergeCell ref="G2:AB2"/>
    <mergeCell ref="C883:I883"/>
    <mergeCell ref="AE883:AF883"/>
    <mergeCell ref="AC883:AD883"/>
    <mergeCell ref="I4:AC4"/>
    <mergeCell ref="C3:G4"/>
    <mergeCell ref="Z6:AG6"/>
    <mergeCell ref="I3:AD3"/>
    <mergeCell ref="J674:M674"/>
    <mergeCell ref="C86:N86"/>
    <mergeCell ref="J870:S870"/>
    <mergeCell ref="J859:S859"/>
    <mergeCell ref="L730:P730"/>
    <mergeCell ref="I686:L686"/>
    <mergeCell ref="S658:U658"/>
    <mergeCell ref="S657:U657"/>
    <mergeCell ref="W85:AD85"/>
    <mergeCell ref="AE310:AF310"/>
    <mergeCell ref="AB532:AC532"/>
    <mergeCell ref="S6:Y7"/>
    <mergeCell ref="E67:AG67"/>
    <mergeCell ref="M657:Q657"/>
    <mergeCell ref="Q754:S754"/>
    <mergeCell ref="R669:X670"/>
    <mergeCell ref="R672:X672"/>
    <mergeCell ref="S660:U660"/>
    <mergeCell ref="AA704:AF704"/>
    <mergeCell ref="V660:Z660"/>
    <mergeCell ref="AA701:AF701"/>
    <mergeCell ref="AB661:AG663"/>
    <mergeCell ref="C923:AH951"/>
    <mergeCell ref="AC840:AD840"/>
    <mergeCell ref="T838:AB838"/>
    <mergeCell ref="O914:Q914"/>
    <mergeCell ref="AC880:AD880"/>
    <mergeCell ref="AC869:AD869"/>
    <mergeCell ref="M899:AG899"/>
    <mergeCell ref="AE877:AF877"/>
    <mergeCell ref="AE865:AF865"/>
    <mergeCell ref="AE911:AG911"/>
    <mergeCell ref="AE873:AF873"/>
    <mergeCell ref="C893:H893"/>
    <mergeCell ref="O910:Q910"/>
    <mergeCell ref="M901:AG901"/>
    <mergeCell ref="C884:I884"/>
    <mergeCell ref="C913:N913"/>
    <mergeCell ref="R906:Z906"/>
    <mergeCell ref="O907:V907"/>
    <mergeCell ref="M896:AG896"/>
    <mergeCell ref="J874:S874"/>
    <mergeCell ref="C879:I879"/>
    <mergeCell ref="J877:S877"/>
    <mergeCell ref="C878:I878"/>
    <mergeCell ref="J883:S883"/>
    <mergeCell ref="M894:AG894"/>
    <mergeCell ref="AE870:AF870"/>
    <mergeCell ref="M892:AG892"/>
    <mergeCell ref="I896:L896"/>
    <mergeCell ref="AA705:AF705"/>
    <mergeCell ref="D843:AF843"/>
    <mergeCell ref="AC868:AD868"/>
    <mergeCell ref="AC870:AD870"/>
    <mergeCell ref="C870:I870"/>
    <mergeCell ref="G707:M707"/>
    <mergeCell ref="N706:O706"/>
    <mergeCell ref="AE869:AF869"/>
    <mergeCell ref="AE832:AF832"/>
    <mergeCell ref="T826:AB826"/>
    <mergeCell ref="J871:S871"/>
    <mergeCell ref="AE868:AF868"/>
    <mergeCell ref="C876:I876"/>
    <mergeCell ref="J878:S878"/>
    <mergeCell ref="C890:H891"/>
    <mergeCell ref="C877:I877"/>
    <mergeCell ref="C880:I880"/>
    <mergeCell ref="J879:S879"/>
    <mergeCell ref="I893:L893"/>
    <mergeCell ref="M893:AG893"/>
    <mergeCell ref="AE881:AF881"/>
    <mergeCell ref="C881:I881"/>
    <mergeCell ref="J880:S880"/>
    <mergeCell ref="AC877:AD877"/>
    <mergeCell ref="I892:L892"/>
    <mergeCell ref="X888:Y888"/>
    <mergeCell ref="C871:I871"/>
    <mergeCell ref="C636:AG636"/>
    <mergeCell ref="AD622:AE622"/>
    <mergeCell ref="P558:W558"/>
    <mergeCell ref="X563:AG563"/>
    <mergeCell ref="N578:S578"/>
    <mergeCell ref="E576:M576"/>
    <mergeCell ref="AD624:AE624"/>
    <mergeCell ref="T578:AF578"/>
    <mergeCell ref="E596:F596"/>
    <mergeCell ref="F587:T587"/>
    <mergeCell ref="M661:Q661"/>
    <mergeCell ref="M662:Q662"/>
    <mergeCell ref="O915:V915"/>
    <mergeCell ref="M690:T691"/>
    <mergeCell ref="V691:Z691"/>
    <mergeCell ref="T871:AB871"/>
    <mergeCell ref="J868:S868"/>
    <mergeCell ref="AA914:AG914"/>
    <mergeCell ref="W911:AD911"/>
    <mergeCell ref="AA702:AF702"/>
    <mergeCell ref="G702:M702"/>
    <mergeCell ref="O911:V911"/>
    <mergeCell ref="R910:Z910"/>
    <mergeCell ref="P702:Z702"/>
    <mergeCell ref="AE867:AF867"/>
    <mergeCell ref="AE866:AF866"/>
    <mergeCell ref="T872:AB872"/>
    <mergeCell ref="AA910:AG910"/>
    <mergeCell ref="AC866:AD866"/>
    <mergeCell ref="AC872:AD872"/>
    <mergeCell ref="AE907:AG907"/>
    <mergeCell ref="O906:Q906"/>
    <mergeCell ref="P483:Z483"/>
    <mergeCell ref="Z507:AB507"/>
    <mergeCell ref="G483:L483"/>
    <mergeCell ref="M504:O506"/>
    <mergeCell ref="M501:O503"/>
    <mergeCell ref="G501:L503"/>
    <mergeCell ref="U496:AG496"/>
    <mergeCell ref="G482:L482"/>
    <mergeCell ref="P482:Z482"/>
    <mergeCell ref="M483:O483"/>
    <mergeCell ref="C561:L563"/>
    <mergeCell ref="C557:L560"/>
    <mergeCell ref="P557:W557"/>
    <mergeCell ref="M561:O563"/>
    <mergeCell ref="X561:AG561"/>
    <mergeCell ref="X562:AG562"/>
    <mergeCell ref="P560:W560"/>
    <mergeCell ref="M557:O560"/>
    <mergeCell ref="P561:W561"/>
    <mergeCell ref="X558:AG558"/>
    <mergeCell ref="E537:L537"/>
    <mergeCell ref="M537:O537"/>
    <mergeCell ref="P537:AG537"/>
    <mergeCell ref="C519:L522"/>
    <mergeCell ref="C523:L532"/>
    <mergeCell ref="M515:O518"/>
    <mergeCell ref="C511:L514"/>
    <mergeCell ref="C515:L518"/>
    <mergeCell ref="C507:L510"/>
    <mergeCell ref="Z511:AB511"/>
    <mergeCell ref="P511:Y511"/>
    <mergeCell ref="P507:Y507"/>
    <mergeCell ref="C679:Q679"/>
    <mergeCell ref="G706:M706"/>
    <mergeCell ref="D690:K691"/>
    <mergeCell ref="T687:Z687"/>
    <mergeCell ref="M686:P686"/>
    <mergeCell ref="G703:M703"/>
    <mergeCell ref="C704:F705"/>
    <mergeCell ref="C680:Q680"/>
    <mergeCell ref="P701:Z701"/>
    <mergeCell ref="G449:L451"/>
    <mergeCell ref="G441:L442"/>
    <mergeCell ref="G440:L440"/>
    <mergeCell ref="AC472:AF472"/>
    <mergeCell ref="M472:O474"/>
    <mergeCell ref="C474:L474"/>
    <mergeCell ref="C472:L472"/>
    <mergeCell ref="X472:AA472"/>
    <mergeCell ref="P474:W474"/>
    <mergeCell ref="C473:L473"/>
    <mergeCell ref="M484:O485"/>
    <mergeCell ref="P480:AG481"/>
    <mergeCell ref="C478:L478"/>
    <mergeCell ref="AC476:AF476"/>
    <mergeCell ref="P477:W477"/>
    <mergeCell ref="AC478:AF478"/>
    <mergeCell ref="X478:AA478"/>
    <mergeCell ref="M475:O478"/>
    <mergeCell ref="C475:L476"/>
    <mergeCell ref="AA482:AG482"/>
    <mergeCell ref="AA483:AG483"/>
    <mergeCell ref="G484:L485"/>
    <mergeCell ref="M486:O487"/>
  </mergeCells>
  <phoneticPr fontId="22" type="noConversion"/>
  <conditionalFormatting sqref="K45:AG47 K48:P48 AB48:AG48">
    <cfRule type="expression" dxfId="811" priority="2365" stopIfTrue="1">
      <formula>$AK$45=1</formula>
    </cfRule>
  </conditionalFormatting>
  <conditionalFormatting sqref="O75:AG78 O80:U80">
    <cfRule type="expression" dxfId="810" priority="2364" stopIfTrue="1">
      <formula>$AK$75=1</formula>
    </cfRule>
  </conditionalFormatting>
  <conditionalFormatting sqref="O12:AG14 O16:AG17 O19:AG20 O22:AG24 O25:U25 AA25:AG25">
    <cfRule type="expression" dxfId="809" priority="1747" stopIfTrue="1">
      <formula>$AK$12=1</formula>
    </cfRule>
  </conditionalFormatting>
  <conditionalFormatting sqref="J6 J8 J10:R10">
    <cfRule type="expression" dxfId="808" priority="16148" stopIfTrue="1">
      <formula>$AK$6=1</formula>
    </cfRule>
  </conditionalFormatting>
  <conditionalFormatting sqref="C832:AF832">
    <cfRule type="expression" dxfId="807" priority="352" stopIfTrue="1">
      <formula>$AK$832=1</formula>
    </cfRule>
  </conditionalFormatting>
  <conditionalFormatting sqref="R749:AF749">
    <cfRule type="expression" dxfId="806" priority="642" stopIfTrue="1">
      <formula>$AK$749=1</formula>
    </cfRule>
  </conditionalFormatting>
  <conditionalFormatting sqref="D778:AG778">
    <cfRule type="expression" dxfId="805" priority="643" stopIfTrue="1">
      <formula>$AC$776&lt;&gt;"Yes"</formula>
    </cfRule>
  </conditionalFormatting>
  <conditionalFormatting sqref="L731">
    <cfRule type="expression" dxfId="804" priority="473" stopIfTrue="1">
      <formula>$Q$730&lt;&gt;"Yes"</formula>
    </cfRule>
  </conditionalFormatting>
  <conditionalFormatting sqref="L729 Q729:T729">
    <cfRule type="expression" dxfId="803" priority="418" stopIfTrue="1">
      <formula>$Q$728&lt;&gt;"Yes"</formula>
    </cfRule>
  </conditionalFormatting>
  <conditionalFormatting sqref="AA729:AD729">
    <cfRule type="expression" dxfId="802" priority="417" stopIfTrue="1">
      <formula>$AA$728&lt;&gt;"Yes"</formula>
    </cfRule>
  </conditionalFormatting>
  <conditionalFormatting sqref="Q731:T731">
    <cfRule type="expression" dxfId="801" priority="416" stopIfTrue="1">
      <formula>$Q$730&lt;&gt;"Yes"</formula>
    </cfRule>
  </conditionalFormatting>
  <conditionalFormatting sqref="U731">
    <cfRule type="expression" dxfId="800" priority="635" stopIfTrue="1">
      <formula>$Q$730="Yes"</formula>
    </cfRule>
  </conditionalFormatting>
  <conditionalFormatting sqref="U729">
    <cfRule type="expression" dxfId="799" priority="636" stopIfTrue="1">
      <formula>$Q$728="Yes"</formula>
    </cfRule>
  </conditionalFormatting>
  <conditionalFormatting sqref="AE729">
    <cfRule type="expression" dxfId="798" priority="637" stopIfTrue="1">
      <formula>$AA$728="Yes"</formula>
    </cfRule>
  </conditionalFormatting>
  <conditionalFormatting sqref="L727:AE727">
    <cfRule type="expression" dxfId="797" priority="638" stopIfTrue="1">
      <formula>$AK$727=1</formula>
    </cfRule>
  </conditionalFormatting>
  <conditionalFormatting sqref="Q728:U728 AA728:AE728">
    <cfRule type="expression" dxfId="796" priority="639" stopIfTrue="1">
      <formula>$AK$728=1</formula>
    </cfRule>
  </conditionalFormatting>
  <conditionalFormatting sqref="Q730:U730">
    <cfRule type="expression" dxfId="795" priority="640" stopIfTrue="1">
      <formula>$AK$730=1</formula>
    </cfRule>
  </conditionalFormatting>
  <conditionalFormatting sqref="Q734:U734">
    <cfRule type="expression" dxfId="794" priority="641" stopIfTrue="1">
      <formula>$AK$734=1</formula>
    </cfRule>
  </conditionalFormatting>
  <conditionalFormatting sqref="Z677">
    <cfRule type="expression" dxfId="793" priority="594" stopIfTrue="1">
      <formula>LEFT($R$671:$X$676,2) ="**"</formula>
    </cfRule>
  </conditionalFormatting>
  <conditionalFormatting sqref="F677">
    <cfRule type="expression" dxfId="792" priority="593" stopIfTrue="1">
      <formula>$A$677=1</formula>
    </cfRule>
  </conditionalFormatting>
  <conditionalFormatting sqref="N672">
    <cfRule type="expression" dxfId="791" priority="589" stopIfTrue="1">
      <formula>CELL("type",($J$672))="v"</formula>
    </cfRule>
  </conditionalFormatting>
  <conditionalFormatting sqref="AC671">
    <cfRule type="expression" dxfId="790" priority="588" stopIfTrue="1">
      <formula>CELL("type",($Y$671))="v"</formula>
    </cfRule>
  </conditionalFormatting>
  <conditionalFormatting sqref="N671">
    <cfRule type="expression" dxfId="789" priority="587" stopIfTrue="1">
      <formula>CELL("type",($J$671))="v"</formula>
    </cfRule>
  </conditionalFormatting>
  <conditionalFormatting sqref="N673">
    <cfRule type="expression" dxfId="788" priority="586" stopIfTrue="1">
      <formula>CELL("type",($J$673))="v"</formula>
    </cfRule>
  </conditionalFormatting>
  <conditionalFormatting sqref="N674">
    <cfRule type="expression" dxfId="787" priority="585" stopIfTrue="1">
      <formula>CELL("type",($J$674))="v"</formula>
    </cfRule>
  </conditionalFormatting>
  <conditionalFormatting sqref="N675">
    <cfRule type="expression" dxfId="786" priority="584" stopIfTrue="1">
      <formula>CELL("type",($J$675))="v"</formula>
    </cfRule>
  </conditionalFormatting>
  <conditionalFormatting sqref="N676">
    <cfRule type="expression" dxfId="785" priority="583" stopIfTrue="1">
      <formula>CELL("type",($J$676))="v"</formula>
    </cfRule>
  </conditionalFormatting>
  <conditionalFormatting sqref="AD668:AF668 P668:Q668">
    <cfRule type="expression" dxfId="784" priority="573" stopIfTrue="1">
      <formula>$B$648=1</formula>
    </cfRule>
  </conditionalFormatting>
  <conditionalFormatting sqref="AG669:AG670">
    <cfRule type="expression" dxfId="783" priority="572" stopIfTrue="1">
      <formula>$B$648=1</formula>
    </cfRule>
  </conditionalFormatting>
  <conditionalFormatting sqref="C667:N667">
    <cfRule type="expression" dxfId="782" priority="571" stopIfTrue="1">
      <formula>$A$667=2</formula>
    </cfRule>
  </conditionalFormatting>
  <conditionalFormatting sqref="AC672">
    <cfRule type="expression" dxfId="781" priority="570" stopIfTrue="1">
      <formula>CELL("type",($Y$672))="v"</formula>
    </cfRule>
  </conditionalFormatting>
  <conditionalFormatting sqref="AC673">
    <cfRule type="expression" dxfId="780" priority="569" stopIfTrue="1">
      <formula>CELL("type",($Y$673))="v"</formula>
    </cfRule>
  </conditionalFormatting>
  <conditionalFormatting sqref="AC674">
    <cfRule type="expression" dxfId="779" priority="568" stopIfTrue="1">
      <formula>CELL("type",($Y$674))="v"</formula>
    </cfRule>
  </conditionalFormatting>
  <conditionalFormatting sqref="AC675">
    <cfRule type="expression" dxfId="778" priority="567" stopIfTrue="1">
      <formula>CELL("type",($Y$675))="v"</formula>
    </cfRule>
  </conditionalFormatting>
  <conditionalFormatting sqref="AC676">
    <cfRule type="expression" dxfId="777" priority="566" stopIfTrue="1">
      <formula>CELL("type",($Y$676))="v"</formula>
    </cfRule>
  </conditionalFormatting>
  <conditionalFormatting sqref="P433:AG433">
    <cfRule type="expression" dxfId="776" priority="595" stopIfTrue="1">
      <formula>$M$433&lt;&gt;"Yes"</formula>
    </cfRule>
  </conditionalFormatting>
  <conditionalFormatting sqref="P434:AG434">
    <cfRule type="expression" dxfId="775" priority="596" stopIfTrue="1">
      <formula>$M$434&lt;&gt;"Yes"</formula>
    </cfRule>
  </conditionalFormatting>
  <conditionalFormatting sqref="P435:AG435">
    <cfRule type="expression" dxfId="774" priority="597" stopIfTrue="1">
      <formula>$M$435&lt;&gt;"Yes"</formula>
    </cfRule>
  </conditionalFormatting>
  <conditionalFormatting sqref="P437:AG437">
    <cfRule type="expression" dxfId="773" priority="598" stopIfTrue="1">
      <formula>$M$437&lt;&gt;"Yes"</formula>
    </cfRule>
  </conditionalFormatting>
  <conditionalFormatting sqref="P436:AG436">
    <cfRule type="expression" dxfId="772" priority="599" stopIfTrue="1">
      <formula>$M$436&lt;&gt;"Yes"</formula>
    </cfRule>
  </conditionalFormatting>
  <conditionalFormatting sqref="P438:AG438">
    <cfRule type="expression" dxfId="771" priority="600" stopIfTrue="1">
      <formula>$M$438&lt;&gt;"Yes"</formula>
    </cfRule>
  </conditionalFormatting>
  <conditionalFormatting sqref="P439:AG439">
    <cfRule type="expression" dxfId="770" priority="601" stopIfTrue="1">
      <formula>$M$439&lt;&gt;"Yes"</formula>
    </cfRule>
  </conditionalFormatting>
  <conditionalFormatting sqref="P440:AG440">
    <cfRule type="expression" dxfId="769" priority="602" stopIfTrue="1">
      <formula>$M$440&lt;&gt;"Yes"</formula>
    </cfRule>
  </conditionalFormatting>
  <conditionalFormatting sqref="P441:AG442">
    <cfRule type="expression" dxfId="768" priority="603" stopIfTrue="1">
      <formula>$M$441&lt;&gt;"Yes"</formula>
    </cfRule>
  </conditionalFormatting>
  <conditionalFormatting sqref="P443:AG445">
    <cfRule type="expression" dxfId="767" priority="604" stopIfTrue="1">
      <formula>$M$443&lt;&gt;"Yes"</formula>
    </cfRule>
  </conditionalFormatting>
  <conditionalFormatting sqref="P446:AG448">
    <cfRule type="expression" dxfId="766" priority="605" stopIfTrue="1">
      <formula>$M$446&lt;&gt;"Yes"</formula>
    </cfRule>
  </conditionalFormatting>
  <conditionalFormatting sqref="P449:AG451">
    <cfRule type="expression" dxfId="765" priority="606" stopIfTrue="1">
      <formula>$M$449&lt;&gt;"Yes"</formula>
    </cfRule>
  </conditionalFormatting>
  <conditionalFormatting sqref="P452:AG452">
    <cfRule type="expression" dxfId="764" priority="607" stopIfTrue="1">
      <formula>$M$452&lt;&gt;"Yes"</formula>
    </cfRule>
  </conditionalFormatting>
  <conditionalFormatting sqref="P453:AG454">
    <cfRule type="expression" dxfId="763" priority="608" stopIfTrue="1">
      <formula>$M$453&lt;&gt;"Yes"</formula>
    </cfRule>
  </conditionalFormatting>
  <conditionalFormatting sqref="P455:AG455">
    <cfRule type="expression" dxfId="762" priority="609" stopIfTrue="1">
      <formula>$M$455&lt;&gt;"Yes"</formula>
    </cfRule>
  </conditionalFormatting>
  <conditionalFormatting sqref="P456:AG456">
    <cfRule type="expression" dxfId="761" priority="610" stopIfTrue="1">
      <formula>$M$456&lt;&gt;"Yes"</formula>
    </cfRule>
  </conditionalFormatting>
  <conditionalFormatting sqref="P457:AG457">
    <cfRule type="expression" dxfId="760" priority="611" stopIfTrue="1">
      <formula>$M$457&lt;&gt;"Yes"</formula>
    </cfRule>
  </conditionalFormatting>
  <conditionalFormatting sqref="P458:AG460">
    <cfRule type="expression" dxfId="759" priority="612" stopIfTrue="1">
      <formula>$M$458&lt;&gt;"Yes"</formula>
    </cfRule>
  </conditionalFormatting>
  <conditionalFormatting sqref="P461:AG463">
    <cfRule type="expression" dxfId="758" priority="613" stopIfTrue="1">
      <formula>$M$461&lt;&gt;"Yes"</formula>
    </cfRule>
  </conditionalFormatting>
  <conditionalFormatting sqref="P464:AG467">
    <cfRule type="expression" dxfId="757" priority="614" stopIfTrue="1">
      <formula>$M$464&lt;&gt;"Yes"</formula>
    </cfRule>
  </conditionalFormatting>
  <conditionalFormatting sqref="P468:W471">
    <cfRule type="expression" dxfId="756" priority="615" stopIfTrue="1">
      <formula>$M$468&lt;&gt;"Yes"</formula>
    </cfRule>
  </conditionalFormatting>
  <conditionalFormatting sqref="X475:AF478">
    <cfRule type="expression" dxfId="755" priority="616" stopIfTrue="1">
      <formula>$M$475&lt;&gt;"Yes"</formula>
    </cfRule>
  </conditionalFormatting>
  <conditionalFormatting sqref="AA483:AG483">
    <cfRule type="expression" dxfId="754" priority="617" stopIfTrue="1">
      <formula>$M$483="Yes"</formula>
    </cfRule>
  </conditionalFormatting>
  <conditionalFormatting sqref="AA482">
    <cfRule type="expression" dxfId="753" priority="618" stopIfTrue="1">
      <formula>$M$482="Yes"</formula>
    </cfRule>
  </conditionalFormatting>
  <conditionalFormatting sqref="AA485:AG485 U484:AG484">
    <cfRule type="expression" dxfId="752" priority="619" stopIfTrue="1">
      <formula>$M$484="Yes"</formula>
    </cfRule>
  </conditionalFormatting>
  <conditionalFormatting sqref="AA488:AG489">
    <cfRule type="expression" dxfId="751" priority="620" stopIfTrue="1">
      <formula>$M$488="Yes"</formula>
    </cfRule>
  </conditionalFormatting>
  <conditionalFormatting sqref="P500:AG500 U495:U496">
    <cfRule type="expression" dxfId="750" priority="556" stopIfTrue="1">
      <formula>$M$495="Yes"</formula>
    </cfRule>
  </conditionalFormatting>
  <conditionalFormatting sqref="P494:AG494 U490:U491">
    <cfRule type="expression" dxfId="749" priority="555" stopIfTrue="1">
      <formula>$M$490="Yes"</formula>
    </cfRule>
  </conditionalFormatting>
  <conditionalFormatting sqref="G706:M706">
    <cfRule type="expression" dxfId="748" priority="554" stopIfTrue="1">
      <formula>$B$706=1</formula>
    </cfRule>
  </conditionalFormatting>
  <conditionalFormatting sqref="G708:M708">
    <cfRule type="expression" dxfId="747" priority="631" stopIfTrue="1">
      <formula>$B$708=1</formula>
    </cfRule>
  </conditionalFormatting>
  <conditionalFormatting sqref="N706:O706">
    <cfRule type="expression" dxfId="746" priority="395" stopIfTrue="1">
      <formula>$AK$706=1</formula>
    </cfRule>
    <cfRule type="expression" dxfId="745" priority="553" stopIfTrue="1">
      <formula>$B$706=1</formula>
    </cfRule>
  </conditionalFormatting>
  <conditionalFormatting sqref="P502:AG502">
    <cfRule type="expression" dxfId="744" priority="552" stopIfTrue="1">
      <formula>$M$501="Yes"</formula>
    </cfRule>
  </conditionalFormatting>
  <conditionalFormatting sqref="P505:AG505">
    <cfRule type="expression" dxfId="743" priority="551" stopIfTrue="1">
      <formula>$M$504="Yes"</formula>
    </cfRule>
  </conditionalFormatting>
  <conditionalFormatting sqref="P508:AG510">
    <cfRule type="expression" dxfId="742" priority="550" stopIfTrue="1">
      <formula>$M$507="Yes"</formula>
    </cfRule>
  </conditionalFormatting>
  <conditionalFormatting sqref="P512:AG514">
    <cfRule type="expression" dxfId="741" priority="549" stopIfTrue="1">
      <formula>$M$511="Yes"</formula>
    </cfRule>
  </conditionalFormatting>
  <conditionalFormatting sqref="P516:Z518 AA517:AB518">
    <cfRule type="expression" dxfId="740" priority="548" stopIfTrue="1">
      <formula>$M$515="Yes"</formula>
    </cfRule>
  </conditionalFormatting>
  <conditionalFormatting sqref="V520:AG520">
    <cfRule type="expression" dxfId="739" priority="547" stopIfTrue="1">
      <formula>$U$520="X"</formula>
    </cfRule>
  </conditionalFormatting>
  <conditionalFormatting sqref="V521:AG521">
    <cfRule type="expression" dxfId="738" priority="546" stopIfTrue="1">
      <formula>$U$521="X"</formula>
    </cfRule>
  </conditionalFormatting>
  <conditionalFormatting sqref="V522:AG522">
    <cfRule type="expression" dxfId="737" priority="545" stopIfTrue="1">
      <formula>$U$522="X"</formula>
    </cfRule>
  </conditionalFormatting>
  <conditionalFormatting sqref="AA533:AG533">
    <cfRule type="expression" dxfId="736" priority="544" stopIfTrue="1">
      <formula>$M$533="Yes"</formula>
    </cfRule>
  </conditionalFormatting>
  <conditionalFormatting sqref="AA534:AG534">
    <cfRule type="expression" dxfId="735" priority="543" stopIfTrue="1">
      <formula>$M$534="Yes"</formula>
    </cfRule>
  </conditionalFormatting>
  <conditionalFormatting sqref="X542:AG545">
    <cfRule type="expression" dxfId="734" priority="542" stopIfTrue="1">
      <formula>$M$542="Yes"</formula>
    </cfRule>
  </conditionalFormatting>
  <conditionalFormatting sqref="AH546:AH547">
    <cfRule type="expression" dxfId="733" priority="541" stopIfTrue="1">
      <formula>$M$546&lt;&gt;"Yes"</formula>
    </cfRule>
  </conditionalFormatting>
  <conditionalFormatting sqref="X549:AG551 X548">
    <cfRule type="expression" dxfId="732" priority="540" stopIfTrue="1">
      <formula>$M$546&lt;&gt;"Yes"</formula>
    </cfRule>
  </conditionalFormatting>
  <conditionalFormatting sqref="P548:W548">
    <cfRule type="expression" dxfId="731" priority="539" stopIfTrue="1">
      <formula>$M$546&lt;&gt;"Yes"</formula>
    </cfRule>
  </conditionalFormatting>
  <conditionalFormatting sqref="X554:AG556">
    <cfRule type="expression" dxfId="730" priority="538" stopIfTrue="1">
      <formula>$M$552&lt;&gt;"Yes"</formula>
    </cfRule>
  </conditionalFormatting>
  <conditionalFormatting sqref="P551:W551">
    <cfRule type="expression" dxfId="729" priority="537" stopIfTrue="1">
      <formula>$M$552&lt;&gt;"Yes"</formula>
    </cfRule>
  </conditionalFormatting>
  <conditionalFormatting sqref="X557:AG560">
    <cfRule type="expression" dxfId="728" priority="536" stopIfTrue="1">
      <formula>$M$557&lt;&gt;"Yes"</formula>
    </cfRule>
  </conditionalFormatting>
  <conditionalFormatting sqref="C391:H393">
    <cfRule type="expression" dxfId="727" priority="581" stopIfTrue="1">
      <formula>$B$391=1</formula>
    </cfRule>
  </conditionalFormatting>
  <conditionalFormatting sqref="C394:H396">
    <cfRule type="expression" dxfId="726" priority="580" stopIfTrue="1">
      <formula>$B$394=1</formula>
    </cfRule>
  </conditionalFormatting>
  <conditionalFormatting sqref="C397:H398">
    <cfRule type="expression" dxfId="725" priority="579" stopIfTrue="1">
      <formula>$B$397=1</formula>
    </cfRule>
  </conditionalFormatting>
  <conditionalFormatting sqref="C399:H401">
    <cfRule type="expression" dxfId="724" priority="578" stopIfTrue="1">
      <formula>$B$399=1</formula>
    </cfRule>
  </conditionalFormatting>
  <conditionalFormatting sqref="C402:H404">
    <cfRule type="expression" dxfId="723" priority="577" stopIfTrue="1">
      <formula>$B$402=1</formula>
    </cfRule>
  </conditionalFormatting>
  <conditionalFormatting sqref="C405:H407">
    <cfRule type="expression" dxfId="722" priority="576" stopIfTrue="1">
      <formula>$B$405=1</formula>
    </cfRule>
  </conditionalFormatting>
  <conditionalFormatting sqref="C408:H410">
    <cfRule type="expression" dxfId="721" priority="575" stopIfTrue="1">
      <formula>$B$408=1</formula>
    </cfRule>
  </conditionalFormatting>
  <conditionalFormatting sqref="C411:H413">
    <cfRule type="expression" dxfId="720" priority="574" stopIfTrue="1">
      <formula>$B$411=1</formula>
    </cfRule>
  </conditionalFormatting>
  <conditionalFormatting sqref="C364">
    <cfRule type="expression" dxfId="719" priority="621" stopIfTrue="1">
      <formula>$D$308="Yes"</formula>
    </cfRule>
  </conditionalFormatting>
  <conditionalFormatting sqref="C340 C342">
    <cfRule type="expression" dxfId="718" priority="590" stopIfTrue="1">
      <formula>$D$302="Yes"</formula>
    </cfRule>
  </conditionalFormatting>
  <conditionalFormatting sqref="C336:J339">
    <cfRule type="expression" dxfId="717" priority="591" stopIfTrue="1">
      <formula>$D$301="Yes"</formula>
    </cfRule>
  </conditionalFormatting>
  <conditionalFormatting sqref="AE310:AF311">
    <cfRule type="expression" dxfId="716" priority="592" stopIfTrue="1">
      <formula>$D$298="Yes"</formula>
    </cfRule>
  </conditionalFormatting>
  <conditionalFormatting sqref="L185">
    <cfRule type="expression" dxfId="715" priority="582" stopIfTrue="1">
      <formula>$B$185&gt;0</formula>
    </cfRule>
  </conditionalFormatting>
  <conditionalFormatting sqref="D175:Y175">
    <cfRule type="expression" dxfId="714" priority="622" stopIfTrue="1">
      <formula>$B$175=1</formula>
    </cfRule>
  </conditionalFormatting>
  <conditionalFormatting sqref="L186:N186">
    <cfRule type="expression" dxfId="713" priority="623" stopIfTrue="1">
      <formula>$B$186&gt;0</formula>
    </cfRule>
  </conditionalFormatting>
  <conditionalFormatting sqref="N235:AG235 C236">
    <cfRule type="expression" dxfId="712" priority="565" stopIfTrue="1">
      <formula>$C$235&lt;"a"</formula>
    </cfRule>
  </conditionalFormatting>
  <conditionalFormatting sqref="N236:AG236 C237">
    <cfRule type="expression" dxfId="711" priority="564" stopIfTrue="1">
      <formula>$C$236&lt;"a"</formula>
    </cfRule>
  </conditionalFormatting>
  <conditionalFormatting sqref="N237:AG237 C238:M238">
    <cfRule type="expression" dxfId="710" priority="563" stopIfTrue="1">
      <formula>$C$237&lt;"a"</formula>
    </cfRule>
  </conditionalFormatting>
  <conditionalFormatting sqref="N238:AG238 C239">
    <cfRule type="expression" dxfId="709" priority="562" stopIfTrue="1">
      <formula>$C$238&lt;"a"</formula>
    </cfRule>
  </conditionalFormatting>
  <conditionalFormatting sqref="N239:AG239 C240:M240">
    <cfRule type="expression" dxfId="708" priority="561" stopIfTrue="1">
      <formula>$C$239&lt;"a"</formula>
    </cfRule>
  </conditionalFormatting>
  <conditionalFormatting sqref="N240:AG240 C241:M241">
    <cfRule type="expression" dxfId="707" priority="560" stopIfTrue="1">
      <formula>$C$240&lt;"a"</formula>
    </cfRule>
  </conditionalFormatting>
  <conditionalFormatting sqref="N241:AG241 C242:M242">
    <cfRule type="expression" dxfId="706" priority="559" stopIfTrue="1">
      <formula>$C$241&lt;"a"</formula>
    </cfRule>
  </conditionalFormatting>
  <conditionalFormatting sqref="N242:AG242 C243:M243">
    <cfRule type="expression" dxfId="705" priority="558" stopIfTrue="1">
      <formula>$C$242&lt;"a"</formula>
    </cfRule>
  </conditionalFormatting>
  <conditionalFormatting sqref="N243:AG243">
    <cfRule type="expression" dxfId="704" priority="557" stopIfTrue="1">
      <formula>$C$243&lt;"a"</formula>
    </cfRule>
  </conditionalFormatting>
  <conditionalFormatting sqref="L187:N187">
    <cfRule type="expression" dxfId="703" priority="534" stopIfTrue="1">
      <formula>$B$187&gt;0</formula>
    </cfRule>
  </conditionalFormatting>
  <conditionalFormatting sqref="L188:N188">
    <cfRule type="expression" dxfId="702" priority="533" stopIfTrue="1">
      <formula>$B$188&gt;0</formula>
    </cfRule>
  </conditionalFormatting>
  <conditionalFormatting sqref="O195:AG195">
    <cfRule type="expression" dxfId="701" priority="388" stopIfTrue="1">
      <formula>$B$175&lt;&gt;8</formula>
    </cfRule>
    <cfRule type="expression" dxfId="700" priority="532" stopIfTrue="1">
      <formula>$A$195&gt;0</formula>
    </cfRule>
  </conditionalFormatting>
  <conditionalFormatting sqref="O196:AG196">
    <cfRule type="expression" dxfId="699" priority="387" stopIfTrue="1">
      <formula>$B$175&lt;&gt;8</formula>
    </cfRule>
    <cfRule type="expression" dxfId="698" priority="531" stopIfTrue="1">
      <formula>$A$196&gt;0</formula>
    </cfRule>
  </conditionalFormatting>
  <conditionalFormatting sqref="O197:AG197">
    <cfRule type="expression" dxfId="697" priority="386" stopIfTrue="1">
      <formula>$B$175&lt;&gt;8</formula>
    </cfRule>
    <cfRule type="expression" dxfId="696" priority="530" stopIfTrue="1">
      <formula>$A$197&gt;0</formula>
    </cfRule>
  </conditionalFormatting>
  <conditionalFormatting sqref="O198:AG198">
    <cfRule type="expression" dxfId="695" priority="385" stopIfTrue="1">
      <formula>$B$175&lt;&gt;8</formula>
    </cfRule>
    <cfRule type="expression" dxfId="694" priority="529" stopIfTrue="1">
      <formula>$A$198&gt;0</formula>
    </cfRule>
  </conditionalFormatting>
  <conditionalFormatting sqref="O199:AG199">
    <cfRule type="expression" dxfId="693" priority="384" stopIfTrue="1">
      <formula>$B$175&lt;&gt;8</formula>
    </cfRule>
    <cfRule type="expression" dxfId="692" priority="528" stopIfTrue="1">
      <formula>$A$199&gt;0</formula>
    </cfRule>
  </conditionalFormatting>
  <conditionalFormatting sqref="O200:AG200">
    <cfRule type="expression" dxfId="691" priority="383" stopIfTrue="1">
      <formula>$B$175&lt;&gt;8</formula>
    </cfRule>
    <cfRule type="expression" dxfId="690" priority="527" stopIfTrue="1">
      <formula>$A$200&gt;0</formula>
    </cfRule>
  </conditionalFormatting>
  <conditionalFormatting sqref="O201:AG201">
    <cfRule type="expression" dxfId="689" priority="382" stopIfTrue="1">
      <formula>$B$175&lt;&gt;8</formula>
    </cfRule>
    <cfRule type="expression" dxfId="688" priority="526" stopIfTrue="1">
      <formula>$A$201&gt;0</formula>
    </cfRule>
  </conditionalFormatting>
  <conditionalFormatting sqref="O202:AG202">
    <cfRule type="expression" dxfId="687" priority="381" stopIfTrue="1">
      <formula>$B$175&lt;&gt;8</formula>
    </cfRule>
    <cfRule type="expression" dxfId="686" priority="525" stopIfTrue="1">
      <formula>$A$202&gt;0</formula>
    </cfRule>
  </conditionalFormatting>
  <conditionalFormatting sqref="O203:AG203">
    <cfRule type="expression" dxfId="685" priority="380" stopIfTrue="1">
      <formula>$B$175&lt;&gt;8</formula>
    </cfRule>
    <cfRule type="expression" dxfId="684" priority="524" stopIfTrue="1">
      <formula>$A$203&gt;0</formula>
    </cfRule>
  </conditionalFormatting>
  <conditionalFormatting sqref="O204:AG204">
    <cfRule type="expression" dxfId="683" priority="378" stopIfTrue="1">
      <formula>$B$175&lt;&gt;8</formula>
    </cfRule>
    <cfRule type="expression" dxfId="682" priority="379" stopIfTrue="1">
      <formula>"v"</formula>
    </cfRule>
    <cfRule type="expression" dxfId="681" priority="523" stopIfTrue="1">
      <formula>$A$204&gt;0</formula>
    </cfRule>
  </conditionalFormatting>
  <conditionalFormatting sqref="O206:AG206">
    <cfRule type="expression" dxfId="680" priority="377" stopIfTrue="1">
      <formula>$B$175&lt;&gt;8</formula>
    </cfRule>
    <cfRule type="expression" dxfId="679" priority="522" stopIfTrue="1">
      <formula>$A$206&gt;0</formula>
    </cfRule>
  </conditionalFormatting>
  <conditionalFormatting sqref="O207:AG207">
    <cfRule type="expression" dxfId="678" priority="376" stopIfTrue="1">
      <formula>$B$175&lt;&gt;8</formula>
    </cfRule>
    <cfRule type="expression" dxfId="677" priority="521" stopIfTrue="1">
      <formula>$A$207&gt;0</formula>
    </cfRule>
  </conditionalFormatting>
  <conditionalFormatting sqref="O208:AG208">
    <cfRule type="expression" dxfId="676" priority="375" stopIfTrue="1">
      <formula>$B$175&lt;&gt;8</formula>
    </cfRule>
    <cfRule type="expression" dxfId="675" priority="520" stopIfTrue="1">
      <formula>$A$208&gt;0</formula>
    </cfRule>
  </conditionalFormatting>
  <conditionalFormatting sqref="O209:AG209">
    <cfRule type="expression" dxfId="674" priority="374" stopIfTrue="1">
      <formula>$B$175&lt;&gt;8</formula>
    </cfRule>
    <cfRule type="expression" dxfId="673" priority="519" stopIfTrue="1">
      <formula>$A$209&gt;0</formula>
    </cfRule>
  </conditionalFormatting>
  <conditionalFormatting sqref="O210:AG210">
    <cfRule type="expression" dxfId="672" priority="373" stopIfTrue="1">
      <formula>$B$175&lt;&gt;8</formula>
    </cfRule>
    <cfRule type="expression" dxfId="671" priority="518" stopIfTrue="1">
      <formula>$A$210&gt;0</formula>
    </cfRule>
  </conditionalFormatting>
  <conditionalFormatting sqref="O211:AG211">
    <cfRule type="expression" dxfId="670" priority="372" stopIfTrue="1">
      <formula>$B$175&lt;&gt;8</formula>
    </cfRule>
    <cfRule type="expression" dxfId="669" priority="517" stopIfTrue="1">
      <formula>$A$211&gt;0</formula>
    </cfRule>
  </conditionalFormatting>
  <conditionalFormatting sqref="O212:AG212">
    <cfRule type="expression" dxfId="668" priority="371" stopIfTrue="1">
      <formula>$B$175&lt;&gt;8</formula>
    </cfRule>
    <cfRule type="expression" dxfId="667" priority="516" stopIfTrue="1">
      <formula>$A$212&gt;0</formula>
    </cfRule>
  </conditionalFormatting>
  <conditionalFormatting sqref="O213:AG213">
    <cfRule type="expression" dxfId="666" priority="370" stopIfTrue="1">
      <formula>$B$175&lt;&gt;8</formula>
    </cfRule>
    <cfRule type="expression" dxfId="665" priority="515" stopIfTrue="1">
      <formula>$A$213&gt;0</formula>
    </cfRule>
  </conditionalFormatting>
  <conditionalFormatting sqref="O214:AG214">
    <cfRule type="expression" dxfId="664" priority="369" stopIfTrue="1">
      <formula>$B$175&lt;&gt;8</formula>
    </cfRule>
    <cfRule type="expression" dxfId="663" priority="514" stopIfTrue="1">
      <formula>$A$214&gt;0</formula>
    </cfRule>
  </conditionalFormatting>
  <conditionalFormatting sqref="O215:AG215">
    <cfRule type="expression" dxfId="662" priority="368" stopIfTrue="1">
      <formula>$B$175&lt;&gt;8</formula>
    </cfRule>
    <cfRule type="expression" dxfId="661" priority="513" stopIfTrue="1">
      <formula>$A$215&gt;0</formula>
    </cfRule>
  </conditionalFormatting>
  <conditionalFormatting sqref="O217:AG217">
    <cfRule type="expression" dxfId="660" priority="367" stopIfTrue="1">
      <formula>$B$175&lt;&gt;8</formula>
    </cfRule>
    <cfRule type="expression" dxfId="659" priority="512" stopIfTrue="1">
      <formula>$A$217&gt;0</formula>
    </cfRule>
  </conditionalFormatting>
  <conditionalFormatting sqref="O218:AG218">
    <cfRule type="expression" dxfId="658" priority="366" stopIfTrue="1">
      <formula>$B$175&lt;&gt;8</formula>
    </cfRule>
    <cfRule type="expression" dxfId="657" priority="511" stopIfTrue="1">
      <formula>$A$218&gt;0</formula>
    </cfRule>
  </conditionalFormatting>
  <conditionalFormatting sqref="O219:AG219">
    <cfRule type="expression" dxfId="656" priority="365" stopIfTrue="1">
      <formula>$B$175&lt;&gt;8</formula>
    </cfRule>
    <cfRule type="expression" dxfId="655" priority="510" stopIfTrue="1">
      <formula>$A$219&gt;0</formula>
    </cfRule>
  </conditionalFormatting>
  <conditionalFormatting sqref="O220:AG220">
    <cfRule type="expression" dxfId="654" priority="364" stopIfTrue="1">
      <formula>$B$175&lt;&gt;8</formula>
    </cfRule>
    <cfRule type="expression" dxfId="653" priority="509" stopIfTrue="1">
      <formula>$A$220&gt;0</formula>
    </cfRule>
  </conditionalFormatting>
  <conditionalFormatting sqref="O221:AG221">
    <cfRule type="expression" dxfId="652" priority="363" stopIfTrue="1">
      <formula>$B$175&lt;&gt;8</formula>
    </cfRule>
    <cfRule type="expression" dxfId="651" priority="508" stopIfTrue="1">
      <formula>$A$221&gt;0</formula>
    </cfRule>
  </conditionalFormatting>
  <conditionalFormatting sqref="O222:AG222">
    <cfRule type="expression" dxfId="650" priority="362" stopIfTrue="1">
      <formula>$B$175&lt;&gt;8</formula>
    </cfRule>
    <cfRule type="expression" dxfId="649" priority="507" stopIfTrue="1">
      <formula>$A$222&gt;0</formula>
    </cfRule>
  </conditionalFormatting>
  <conditionalFormatting sqref="O223:AG223">
    <cfRule type="expression" dxfId="648" priority="361" stopIfTrue="1">
      <formula>$B$175&lt;&gt;8</formula>
    </cfRule>
    <cfRule type="expression" dxfId="647" priority="506" stopIfTrue="1">
      <formula>$A$223&gt;0</formula>
    </cfRule>
  </conditionalFormatting>
  <conditionalFormatting sqref="O224:AG224">
    <cfRule type="expression" dxfId="646" priority="360" stopIfTrue="1">
      <formula>$B$175&lt;&gt;8</formula>
    </cfRule>
    <cfRule type="expression" dxfId="645" priority="505" stopIfTrue="1">
      <formula>$A$224&gt;0</formula>
    </cfRule>
  </conditionalFormatting>
  <conditionalFormatting sqref="O225:AG225">
    <cfRule type="expression" dxfId="644" priority="359" stopIfTrue="1">
      <formula>$B$175&lt;&gt;8</formula>
    </cfRule>
    <cfRule type="expression" dxfId="643" priority="504" stopIfTrue="1">
      <formula>$A$225&gt;0</formula>
    </cfRule>
  </conditionalFormatting>
  <conditionalFormatting sqref="O226:AG226">
    <cfRule type="expression" dxfId="642" priority="358" stopIfTrue="1">
      <formula>$B$175&lt;&gt;8</formula>
    </cfRule>
    <cfRule type="expression" dxfId="641" priority="503" stopIfTrue="1">
      <formula>$A$226&gt;0</formula>
    </cfRule>
  </conditionalFormatting>
  <conditionalFormatting sqref="O227:AG227">
    <cfRule type="expression" dxfId="640" priority="357" stopIfTrue="1">
      <formula>$B$175&lt;&gt;8</formula>
    </cfRule>
    <cfRule type="expression" dxfId="639" priority="502" stopIfTrue="1">
      <formula>$A$227&gt;0</formula>
    </cfRule>
  </conditionalFormatting>
  <conditionalFormatting sqref="O228:AG228">
    <cfRule type="expression" dxfId="638" priority="356" stopIfTrue="1">
      <formula>$B$175&lt;&gt;8</formula>
    </cfRule>
    <cfRule type="expression" dxfId="637" priority="501" stopIfTrue="1">
      <formula>$A$228&gt;0</formula>
    </cfRule>
  </conditionalFormatting>
  <conditionalFormatting sqref="O229:AG229">
    <cfRule type="expression" dxfId="636" priority="355" stopIfTrue="1">
      <formula>$B$175&lt;&gt;8</formula>
    </cfRule>
    <cfRule type="expression" dxfId="635" priority="500" stopIfTrue="1">
      <formula>$A$229&gt;0</formula>
    </cfRule>
  </conditionalFormatting>
  <conditionalFormatting sqref="O230:AG230">
    <cfRule type="expression" dxfId="634" priority="354" stopIfTrue="1">
      <formula>$B$175&lt;&gt;8</formula>
    </cfRule>
    <cfRule type="expression" dxfId="633" priority="499" stopIfTrue="1">
      <formula>$A$230&gt;0</formula>
    </cfRule>
  </conditionalFormatting>
  <conditionalFormatting sqref="O231:AG231">
    <cfRule type="expression" dxfId="632" priority="353" stopIfTrue="1">
      <formula>$B$175&lt;&gt;8</formula>
    </cfRule>
    <cfRule type="expression" dxfId="631" priority="498" stopIfTrue="1">
      <formula>$A$231&gt;0</formula>
    </cfRule>
  </conditionalFormatting>
  <conditionalFormatting sqref="AH552:AH553">
    <cfRule type="expression" dxfId="630" priority="497" stopIfTrue="1">
      <formula>$M$552&lt;&gt;"Yes"</formula>
    </cfRule>
  </conditionalFormatting>
  <conditionalFormatting sqref="C696:AG697">
    <cfRule type="expression" dxfId="629" priority="496" stopIfTrue="1">
      <formula>$AA$693&lt;&gt;"X"</formula>
    </cfRule>
  </conditionalFormatting>
  <conditionalFormatting sqref="AG671:AG673">
    <cfRule type="expression" dxfId="628" priority="624" stopIfTrue="1">
      <formula>$D$135="X"</formula>
    </cfRule>
  </conditionalFormatting>
  <conditionalFormatting sqref="AA314:AA317 T318:T319 AF314:AF317">
    <cfRule type="expression" dxfId="627" priority="495" stopIfTrue="1">
      <formula>$A$313=0</formula>
    </cfRule>
  </conditionalFormatting>
  <conditionalFormatting sqref="F116:J116">
    <cfRule type="expression" dxfId="626" priority="492" stopIfTrue="1">
      <formula>$F$116=$A$115</formula>
    </cfRule>
    <cfRule type="expression" dxfId="625" priority="493" stopIfTrue="1">
      <formula>$F$116=$A$114</formula>
    </cfRule>
    <cfRule type="expression" dxfId="624" priority="494" stopIfTrue="1">
      <formula>$F$116=$A$113</formula>
    </cfRule>
  </conditionalFormatting>
  <conditionalFormatting sqref="F117:J117">
    <cfRule type="expression" dxfId="623" priority="480" stopIfTrue="1">
      <formula>$F$117=$A$115</formula>
    </cfRule>
    <cfRule type="expression" dxfId="622" priority="481" stopIfTrue="1">
      <formula>$F$117=$A$114</formula>
    </cfRule>
    <cfRule type="expression" dxfId="621" priority="491" stopIfTrue="1">
      <formula>$F$117=$A$113</formula>
    </cfRule>
  </conditionalFormatting>
  <conditionalFormatting sqref="F118:J118">
    <cfRule type="expression" dxfId="620" priority="478" stopIfTrue="1">
      <formula>$F$118=$A$115</formula>
    </cfRule>
    <cfRule type="expression" dxfId="619" priority="479" stopIfTrue="1">
      <formula>$F$118=$A$114</formula>
    </cfRule>
    <cfRule type="expression" dxfId="618" priority="490" stopIfTrue="1">
      <formula>$F$118=$A$113</formula>
    </cfRule>
  </conditionalFormatting>
  <conditionalFormatting sqref="F119:J119">
    <cfRule type="expression" dxfId="617" priority="476" stopIfTrue="1">
      <formula>$F$119=$A$115</formula>
    </cfRule>
    <cfRule type="expression" dxfId="616" priority="477" stopIfTrue="1">
      <formula>$F$119=$A$114</formula>
    </cfRule>
    <cfRule type="expression" dxfId="615" priority="489" stopIfTrue="1">
      <formula>$F$119=$A$113</formula>
    </cfRule>
  </conditionalFormatting>
  <conditionalFormatting sqref="F121:J121">
    <cfRule type="expression" dxfId="614" priority="475" stopIfTrue="1">
      <formula>$F$121=$A$115</formula>
    </cfRule>
    <cfRule type="expression" dxfId="613" priority="487" stopIfTrue="1">
      <formula>$F$121=$A$114</formula>
    </cfRule>
    <cfRule type="expression" dxfId="612" priority="488" stopIfTrue="1">
      <formula>$F$121=$A$113</formula>
    </cfRule>
  </conditionalFormatting>
  <conditionalFormatting sqref="F122:J122">
    <cfRule type="expression" dxfId="611" priority="474" stopIfTrue="1">
      <formula>$F$122=$A$115</formula>
    </cfRule>
    <cfRule type="expression" dxfId="610" priority="485" stopIfTrue="1">
      <formula>$F$122=$A$114</formula>
    </cfRule>
    <cfRule type="expression" dxfId="609" priority="486" stopIfTrue="1">
      <formula>$F$122=$A$113</formula>
    </cfRule>
  </conditionalFormatting>
  <conditionalFormatting sqref="F123:J123">
    <cfRule type="expression" dxfId="608" priority="482" stopIfTrue="1">
      <formula>$F$123=$A$115</formula>
    </cfRule>
    <cfRule type="expression" dxfId="607" priority="483" stopIfTrue="1">
      <formula>$F$123=$A$114</formula>
    </cfRule>
    <cfRule type="expression" dxfId="606" priority="484" stopIfTrue="1">
      <formula>$F$123=$A$113</formula>
    </cfRule>
  </conditionalFormatting>
  <conditionalFormatting sqref="D139:Y139">
    <cfRule type="expression" dxfId="605" priority="625" stopIfTrue="1">
      <formula>$B$139=1</formula>
    </cfRule>
  </conditionalFormatting>
  <conditionalFormatting sqref="L189:N189">
    <cfRule type="expression" dxfId="604" priority="626" stopIfTrue="1">
      <formula>$B$189&gt;0</formula>
    </cfRule>
  </conditionalFormatting>
  <conditionalFormatting sqref="E637:H638">
    <cfRule type="expression" dxfId="603" priority="472" stopIfTrue="1">
      <formula>$B$638&lt;&gt;5</formula>
    </cfRule>
  </conditionalFormatting>
  <conditionalFormatting sqref="U178:AF179">
    <cfRule type="expression" dxfId="602" priority="471" stopIfTrue="1">
      <formula>$U$178&gt;"a"</formula>
    </cfRule>
  </conditionalFormatting>
  <conditionalFormatting sqref="F146:I146">
    <cfRule type="expression" dxfId="601" priority="470" stopIfTrue="1">
      <formula>#REF!&lt;&gt;"Other"</formula>
    </cfRule>
  </conditionalFormatting>
  <conditionalFormatting sqref="O187:AG187">
    <cfRule type="expression" dxfId="600" priority="391" stopIfTrue="1">
      <formula>$B$175&lt;&gt;8</formula>
    </cfRule>
    <cfRule type="expression" dxfId="599" priority="469" stopIfTrue="1">
      <formula>$A$187&gt;0</formula>
    </cfRule>
  </conditionalFormatting>
  <conditionalFormatting sqref="O188:AG188">
    <cfRule type="expression" dxfId="598" priority="390" stopIfTrue="1">
      <formula>$B$175&lt;&gt;8</formula>
    </cfRule>
    <cfRule type="expression" dxfId="597" priority="468" stopIfTrue="1">
      <formula>$A$188&gt;0</formula>
    </cfRule>
  </conditionalFormatting>
  <conditionalFormatting sqref="O189:AG189">
    <cfRule type="expression" dxfId="596" priority="389" stopIfTrue="1">
      <formula>$B$175&lt;&gt;8</formula>
    </cfRule>
    <cfRule type="expression" dxfId="595" priority="467" stopIfTrue="1">
      <formula>$A$189&gt;0</formula>
    </cfRule>
  </conditionalFormatting>
  <conditionalFormatting sqref="C332:J335">
    <cfRule type="expression" dxfId="594" priority="466" stopIfTrue="1">
      <formula>$D$300="Yes"</formula>
    </cfRule>
  </conditionalFormatting>
  <conditionalFormatting sqref="D344:J345 C344:C346">
    <cfRule type="expression" dxfId="593" priority="465" stopIfTrue="1">
      <formula>$D$303="Yes"</formula>
    </cfRule>
  </conditionalFormatting>
  <conditionalFormatting sqref="C323:C327">
    <cfRule type="expression" dxfId="592" priority="464" stopIfTrue="1">
      <formula>$D$298="Yes"</formula>
    </cfRule>
  </conditionalFormatting>
  <conditionalFormatting sqref="C328:J331">
    <cfRule type="expression" dxfId="591" priority="463" stopIfTrue="1">
      <formula>$D$299="Yes"</formula>
    </cfRule>
  </conditionalFormatting>
  <conditionalFormatting sqref="C360:J363">
    <cfRule type="expression" dxfId="590" priority="462" stopIfTrue="1">
      <formula>$D$307="Yes"</formula>
    </cfRule>
  </conditionalFormatting>
  <conditionalFormatting sqref="C353:J355">
    <cfRule type="expression" dxfId="589" priority="461" stopIfTrue="1">
      <formula>$D$305="Yes"</formula>
    </cfRule>
  </conditionalFormatting>
  <conditionalFormatting sqref="C356:J359">
    <cfRule type="expression" dxfId="588" priority="460" stopIfTrue="1">
      <formula>$D$306="Yes"</formula>
    </cfRule>
  </conditionalFormatting>
  <conditionalFormatting sqref="O391:AG393">
    <cfRule type="expression" dxfId="587" priority="459" stopIfTrue="1">
      <formula>$B$391=1</formula>
    </cfRule>
  </conditionalFormatting>
  <conditionalFormatting sqref="L391:AG393">
    <cfRule type="expression" dxfId="586" priority="458" stopIfTrue="1">
      <formula>$B$391&gt;=2</formula>
    </cfRule>
  </conditionalFormatting>
  <conditionalFormatting sqref="O394:AG396">
    <cfRule type="expression" dxfId="585" priority="457" stopIfTrue="1">
      <formula>$B$394=1</formula>
    </cfRule>
  </conditionalFormatting>
  <conditionalFormatting sqref="L394:AG396">
    <cfRule type="expression" dxfId="584" priority="456" stopIfTrue="1">
      <formula>$B$394&gt;=2</formula>
    </cfRule>
  </conditionalFormatting>
  <conditionalFormatting sqref="O399:AG401">
    <cfRule type="expression" dxfId="583" priority="455" stopIfTrue="1">
      <formula>$B$399=1</formula>
    </cfRule>
  </conditionalFormatting>
  <conditionalFormatting sqref="L399:AG401">
    <cfRule type="expression" dxfId="582" priority="454" stopIfTrue="1">
      <formula>$B$399&gt;=2</formula>
    </cfRule>
  </conditionalFormatting>
  <conditionalFormatting sqref="O402:AG404">
    <cfRule type="expression" dxfId="581" priority="453" stopIfTrue="1">
      <formula>$B$402=1</formula>
    </cfRule>
  </conditionalFormatting>
  <conditionalFormatting sqref="L402:AG404">
    <cfRule type="expression" dxfId="580" priority="452" stopIfTrue="1">
      <formula>$B$402&gt;=2</formula>
    </cfRule>
  </conditionalFormatting>
  <conditionalFormatting sqref="O408:AG410">
    <cfRule type="expression" dxfId="579" priority="451" stopIfTrue="1">
      <formula>$B$408=1</formula>
    </cfRule>
  </conditionalFormatting>
  <conditionalFormatting sqref="L408:AG410">
    <cfRule type="expression" dxfId="578" priority="450" stopIfTrue="1">
      <formula>$B$408&gt;=2</formula>
    </cfRule>
  </conditionalFormatting>
  <conditionalFormatting sqref="O411:AG413">
    <cfRule type="expression" dxfId="577" priority="449" stopIfTrue="1">
      <formula>$B$411=1</formula>
    </cfRule>
  </conditionalFormatting>
  <conditionalFormatting sqref="L411:AG413">
    <cfRule type="expression" dxfId="576" priority="448" stopIfTrue="1">
      <formula>$B$411&gt;=2</formula>
    </cfRule>
  </conditionalFormatting>
  <conditionalFormatting sqref="L397:AG398">
    <cfRule type="expression" dxfId="575" priority="447" stopIfTrue="1">
      <formula>$B$397&gt;=2</formula>
    </cfRule>
  </conditionalFormatting>
  <conditionalFormatting sqref="O397:AG398">
    <cfRule type="expression" dxfId="574" priority="446" stopIfTrue="1">
      <formula>$B$397=1</formula>
    </cfRule>
  </conditionalFormatting>
  <conditionalFormatting sqref="L405:AG407">
    <cfRule type="expression" dxfId="573" priority="444" stopIfTrue="1">
      <formula>$B$405&gt;=2</formula>
    </cfRule>
  </conditionalFormatting>
  <conditionalFormatting sqref="O405:AG407">
    <cfRule type="expression" dxfId="572" priority="445" stopIfTrue="1">
      <formula>$B$405=1</formula>
    </cfRule>
  </conditionalFormatting>
  <conditionalFormatting sqref="C130:AG130">
    <cfRule type="expression" dxfId="571" priority="442" stopIfTrue="1">
      <formula>$AK$130=1</formula>
    </cfRule>
  </conditionalFormatting>
  <conditionalFormatting sqref="C132:AG132">
    <cfRule type="expression" dxfId="570" priority="441" stopIfTrue="1">
      <formula>$AK$132=1</formula>
    </cfRule>
  </conditionalFormatting>
  <conditionalFormatting sqref="C126:AC126">
    <cfRule type="expression" dxfId="569" priority="440" stopIfTrue="1">
      <formula>$AF$125="X"</formula>
    </cfRule>
  </conditionalFormatting>
  <conditionalFormatting sqref="E144:Q144">
    <cfRule type="expression" dxfId="568" priority="439" stopIfTrue="1">
      <formula>$AK$144=1</formula>
    </cfRule>
  </conditionalFormatting>
  <conditionalFormatting sqref="D171:D173">
    <cfRule type="expression" dxfId="567" priority="438" stopIfTrue="1">
      <formula>$AK$175=1</formula>
    </cfRule>
  </conditionalFormatting>
  <conditionalFormatting sqref="AB251:AF267">
    <cfRule type="expression" dxfId="566" priority="437" stopIfTrue="1">
      <formula>$AK$251=1</formula>
    </cfRule>
  </conditionalFormatting>
  <conditionalFormatting sqref="D298">
    <cfRule type="expression" dxfId="565" priority="436" stopIfTrue="1">
      <formula>$AK$298=1</formula>
    </cfRule>
  </conditionalFormatting>
  <conditionalFormatting sqref="AB661">
    <cfRule type="expression" dxfId="564" priority="627" stopIfTrue="1">
      <formula>$A$649=0</formula>
    </cfRule>
  </conditionalFormatting>
  <conditionalFormatting sqref="C706:F708">
    <cfRule type="expression" dxfId="563" priority="628" stopIfTrue="1">
      <formula>$A$706=1</formula>
    </cfRule>
  </conditionalFormatting>
  <conditionalFormatting sqref="G707:M707">
    <cfRule type="expression" dxfId="562" priority="629" stopIfTrue="1">
      <formula>$B$707=1</formula>
    </cfRule>
  </conditionalFormatting>
  <conditionalFormatting sqref="N707:AF707">
    <cfRule type="expression" dxfId="561" priority="394" stopIfTrue="1">
      <formula>$AK$707=1</formula>
    </cfRule>
    <cfRule type="expression" dxfId="560" priority="630" stopIfTrue="1">
      <formula>$B$707=1</formula>
    </cfRule>
  </conditionalFormatting>
  <conditionalFormatting sqref="C694">
    <cfRule type="expression" dxfId="559" priority="435" stopIfTrue="1">
      <formula>$P$693&lt;&gt;"X"</formula>
    </cfRule>
  </conditionalFormatting>
  <conditionalFormatting sqref="AD426:AG426">
    <cfRule type="expression" dxfId="558" priority="434" stopIfTrue="1">
      <formula>$AD$424&lt;&gt;"Yes"</formula>
    </cfRule>
  </conditionalFormatting>
  <conditionalFormatting sqref="V506:AB506 Z503:AF503">
    <cfRule type="expression" dxfId="557" priority="432" stopIfTrue="1">
      <formula>$M$504&lt;&gt;"Yes"</formula>
    </cfRule>
  </conditionalFormatting>
  <conditionalFormatting sqref="V503:Y503">
    <cfRule type="expression" dxfId="556" priority="431" stopIfTrue="1">
      <formula>$M$501&lt;&gt;"Yes"</formula>
    </cfRule>
  </conditionalFormatting>
  <conditionalFormatting sqref="AE340:AG343">
    <cfRule type="expression" dxfId="555" priority="632" stopIfTrue="1">
      <formula>$D$302="Yes"</formula>
    </cfRule>
  </conditionalFormatting>
  <conditionalFormatting sqref="C349:J350">
    <cfRule type="expression" dxfId="554" priority="633" stopIfTrue="1">
      <formula>$D$304="Yes"</formula>
    </cfRule>
  </conditionalFormatting>
  <conditionalFormatting sqref="C351:J352">
    <cfRule type="expression" dxfId="553" priority="634" stopIfTrue="1">
      <formula>$D$304="Yes"</formula>
    </cfRule>
  </conditionalFormatting>
  <conditionalFormatting sqref="D299">
    <cfRule type="expression" dxfId="552" priority="430" stopIfTrue="1">
      <formula>$AK$299=1</formula>
    </cfRule>
  </conditionalFormatting>
  <conditionalFormatting sqref="D313">
    <cfRule type="expression" dxfId="551" priority="429" stopIfTrue="1">
      <formula>$AK$313=1</formula>
    </cfRule>
  </conditionalFormatting>
  <conditionalFormatting sqref="D300">
    <cfRule type="expression" dxfId="550" priority="428" stopIfTrue="1">
      <formula>$AK$300=1</formula>
    </cfRule>
  </conditionalFormatting>
  <conditionalFormatting sqref="D301">
    <cfRule type="expression" dxfId="549" priority="427" stopIfTrue="1">
      <formula>$AK$301=1</formula>
    </cfRule>
  </conditionalFormatting>
  <conditionalFormatting sqref="D302">
    <cfRule type="expression" dxfId="548" priority="426" stopIfTrue="1">
      <formula>$AK$302=1</formula>
    </cfRule>
  </conditionalFormatting>
  <conditionalFormatting sqref="D303">
    <cfRule type="expression" dxfId="547" priority="425" stopIfTrue="1">
      <formula>$AK$303=1</formula>
    </cfRule>
  </conditionalFormatting>
  <conditionalFormatting sqref="D304">
    <cfRule type="expression" dxfId="546" priority="424" stopIfTrue="1">
      <formula>$AK$304=1</formula>
    </cfRule>
  </conditionalFormatting>
  <conditionalFormatting sqref="D305">
    <cfRule type="expression" dxfId="545" priority="423" stopIfTrue="1">
      <formula>$AK$305=1</formula>
    </cfRule>
  </conditionalFormatting>
  <conditionalFormatting sqref="D306">
    <cfRule type="expression" dxfId="544" priority="422" stopIfTrue="1">
      <formula>$AK$306=1</formula>
    </cfRule>
  </conditionalFormatting>
  <conditionalFormatting sqref="D307">
    <cfRule type="expression" dxfId="543" priority="421" stopIfTrue="1">
      <formula>$AK$307=1</formula>
    </cfRule>
  </conditionalFormatting>
  <conditionalFormatting sqref="AB655">
    <cfRule type="expression" dxfId="542" priority="420" stopIfTrue="1">
      <formula>$AB$655&gt;"P"</formula>
    </cfRule>
  </conditionalFormatting>
  <conditionalFormatting sqref="C709:AF709">
    <cfRule type="expression" dxfId="541" priority="419" stopIfTrue="1">
      <formula>$B$709&gt;0</formula>
    </cfRule>
  </conditionalFormatting>
  <conditionalFormatting sqref="R142:Y143 AA142:AG143">
    <cfRule type="expression" dxfId="540" priority="415" stopIfTrue="1">
      <formula>#REF!="Other Statement"</formula>
    </cfRule>
  </conditionalFormatting>
  <conditionalFormatting sqref="E155:AG158">
    <cfRule type="expression" dxfId="539" priority="414" stopIfTrue="1">
      <formula>$AC$153&lt;&gt;"Yes"</formula>
    </cfRule>
  </conditionalFormatting>
  <conditionalFormatting sqref="Y144">
    <cfRule type="expression" dxfId="538" priority="413" stopIfTrue="1">
      <formula>$AC$153="No"</formula>
    </cfRule>
  </conditionalFormatting>
  <conditionalFormatting sqref="Q144:AG144">
    <cfRule type="expression" dxfId="537" priority="412" stopIfTrue="1">
      <formula>$E$144="Other statement"</formula>
    </cfRule>
  </conditionalFormatting>
  <conditionalFormatting sqref="AE377:AF377">
    <cfRule type="expression" dxfId="536" priority="411" stopIfTrue="1">
      <formula>$AK$377=1</formula>
    </cfRule>
  </conditionalFormatting>
  <conditionalFormatting sqref="I391:AG393">
    <cfRule type="expression" dxfId="535" priority="410" stopIfTrue="1">
      <formula>($AK$393-$B$391)&gt;6</formula>
    </cfRule>
  </conditionalFormatting>
  <conditionalFormatting sqref="I394:AG396">
    <cfRule type="expression" dxfId="534" priority="409" stopIfTrue="1">
      <formula>($AK$396-$B$394)&gt;6</formula>
    </cfRule>
  </conditionalFormatting>
  <conditionalFormatting sqref="I399:AG401">
    <cfRule type="expression" dxfId="533" priority="408" stopIfTrue="1">
      <formula>($AK$401-$B$399)&gt;6</formula>
    </cfRule>
  </conditionalFormatting>
  <conditionalFormatting sqref="I402:AG404">
    <cfRule type="expression" dxfId="532" priority="407" stopIfTrue="1">
      <formula>($AK$404-$B$402)&gt;6</formula>
    </cfRule>
  </conditionalFormatting>
  <conditionalFormatting sqref="I405:AG407">
    <cfRule type="expression" dxfId="531" priority="406" stopIfTrue="1">
      <formula>($AK$407-$B$405)&gt;6</formula>
    </cfRule>
  </conditionalFormatting>
  <conditionalFormatting sqref="I408:AG410">
    <cfRule type="expression" dxfId="530" priority="405" stopIfTrue="1">
      <formula>($AK$410-$B$408)&gt;6</formula>
    </cfRule>
  </conditionalFormatting>
  <conditionalFormatting sqref="I411:AG413">
    <cfRule type="expression" dxfId="529" priority="404" stopIfTrue="1">
      <formula>($AK$413-$B$411)&gt;6</formula>
    </cfRule>
  </conditionalFormatting>
  <conditionalFormatting sqref="O669:Q670 AD669:AF670">
    <cfRule type="expression" dxfId="528" priority="403" stopIfTrue="1">
      <formula>$B$648=1</formula>
    </cfRule>
  </conditionalFormatting>
  <conditionalFormatting sqref="N708:O708">
    <cfRule type="expression" dxfId="527" priority="393" stopIfTrue="1">
      <formula>$AK$708=1</formula>
    </cfRule>
    <cfRule type="expression" dxfId="526" priority="402" stopIfTrue="1">
      <formula>$B$708=1</formula>
    </cfRule>
  </conditionalFormatting>
  <conditionalFormatting sqref="P707:AF707">
    <cfRule type="expression" dxfId="525" priority="683" stopIfTrue="1">
      <formula>$N$707="No"</formula>
    </cfRule>
  </conditionalFormatting>
  <conditionalFormatting sqref="M433">
    <cfRule type="expression" dxfId="524" priority="401" stopIfTrue="1">
      <formula>$AK$433=2</formula>
    </cfRule>
  </conditionalFormatting>
  <conditionalFormatting sqref="M542:O560">
    <cfRule type="expression" dxfId="523" priority="400" stopIfTrue="1">
      <formula>$AK$542=1</formula>
    </cfRule>
  </conditionalFormatting>
  <conditionalFormatting sqref="C690 L690 U690 AB690">
    <cfRule type="expression" dxfId="522" priority="399" stopIfTrue="1">
      <formula>$AK$690=1</formula>
    </cfRule>
  </conditionalFormatting>
  <conditionalFormatting sqref="P693 AA693 N739 V739:W739 R739:S739">
    <cfRule type="expression" dxfId="521" priority="398" stopIfTrue="1">
      <formula>$AK$693=1</formula>
    </cfRule>
  </conditionalFormatting>
  <conditionalFormatting sqref="N702:AF702">
    <cfRule type="expression" dxfId="520" priority="397" stopIfTrue="1">
      <formula>$AK$702=1</formula>
    </cfRule>
  </conditionalFormatting>
  <conditionalFormatting sqref="N703:AF703">
    <cfRule type="expression" dxfId="519" priority="396" stopIfTrue="1">
      <formula>$AK$703=1</formula>
    </cfRule>
  </conditionalFormatting>
  <conditionalFormatting sqref="O191:AG194 O181:AG184">
    <cfRule type="expression" dxfId="518" priority="392" stopIfTrue="1">
      <formula>$B$175&lt;&gt;8</formula>
    </cfRule>
  </conditionalFormatting>
  <conditionalFormatting sqref="F782:G782 AE782">
    <cfRule type="expression" dxfId="517" priority="644" stopIfTrue="1">
      <formula>$A$749=1</formula>
    </cfRule>
    <cfRule type="expression" dxfId="516" priority="645" stopIfTrue="1">
      <formula>$AC$780="Yes"</formula>
    </cfRule>
  </conditionalFormatting>
  <conditionalFormatting sqref="E158:M158 E156:M156 O156:W156 Y156:AG156 Y158:AG158 O158:W158 AC153:AD153">
    <cfRule type="expression" dxfId="515" priority="646" stopIfTrue="1">
      <formula>$AK$152=1</formula>
    </cfRule>
  </conditionalFormatting>
  <conditionalFormatting sqref="F314:G314">
    <cfRule type="expression" dxfId="514" priority="351" stopIfTrue="1">
      <formula>$D$313="Yes"</formula>
    </cfRule>
  </conditionalFormatting>
  <conditionalFormatting sqref="AC782:AD782">
    <cfRule type="expression" dxfId="513" priority="350" stopIfTrue="1">
      <formula>$AC$780="Yes"</formula>
    </cfRule>
  </conditionalFormatting>
  <conditionalFormatting sqref="A629:A631 B629">
    <cfRule type="expression" dxfId="512" priority="349" stopIfTrue="1">
      <formula>#REF!&gt;0</formula>
    </cfRule>
  </conditionalFormatting>
  <conditionalFormatting sqref="E421:AF422">
    <cfRule type="expression" dxfId="511" priority="348" stopIfTrue="1">
      <formula>$AD$419&lt;&gt;"Yes"</formula>
    </cfRule>
  </conditionalFormatting>
  <conditionalFormatting sqref="B427:B428">
    <cfRule type="expression" dxfId="510" priority="347" stopIfTrue="1">
      <formula>#REF!&lt;&gt;"Yes"</formula>
    </cfRule>
  </conditionalFormatting>
  <conditionalFormatting sqref="AG424">
    <cfRule type="expression" dxfId="509" priority="346" stopIfTrue="1">
      <formula>$A$424=2</formula>
    </cfRule>
  </conditionalFormatting>
  <conditionalFormatting sqref="R178:S178">
    <cfRule type="expression" dxfId="508" priority="650" stopIfTrue="1">
      <formula>$AK$178=1</formula>
    </cfRule>
  </conditionalFormatting>
  <conditionalFormatting sqref="O186:AG186">
    <cfRule type="expression" dxfId="507" priority="651" stopIfTrue="1">
      <formula>$B$175&lt;&gt;8</formula>
    </cfRule>
    <cfRule type="expression" dxfId="506" priority="652" stopIfTrue="1">
      <formula>$A$186&gt;0</formula>
    </cfRule>
  </conditionalFormatting>
  <conditionalFormatting sqref="O185:AG185">
    <cfRule type="expression" dxfId="505" priority="654" stopIfTrue="1">
      <formula>$B$175&lt;&gt;8</formula>
    </cfRule>
    <cfRule type="expression" dxfId="504" priority="655" stopIfTrue="1">
      <formula>$A$185&gt;0</formula>
    </cfRule>
  </conditionalFormatting>
  <conditionalFormatting sqref="AC161:AD161 AC163:AD163 AC165:AD165 AC167:AD167">
    <cfRule type="expression" dxfId="503" priority="345" stopIfTrue="1">
      <formula>$AK$161=1</formula>
    </cfRule>
  </conditionalFormatting>
  <conditionalFormatting sqref="L195">
    <cfRule type="expression" dxfId="502" priority="344" stopIfTrue="1">
      <formula>$B$195&gt;0</formula>
    </cfRule>
  </conditionalFormatting>
  <conditionalFormatting sqref="L204">
    <cfRule type="expression" dxfId="501" priority="343" stopIfTrue="1">
      <formula>$B$204&gt;0</formula>
    </cfRule>
  </conditionalFormatting>
  <conditionalFormatting sqref="L203">
    <cfRule type="expression" dxfId="500" priority="342" stopIfTrue="1">
      <formula>$B$203&gt;0</formula>
    </cfRule>
  </conditionalFormatting>
  <conditionalFormatting sqref="L202">
    <cfRule type="expression" dxfId="499" priority="341" stopIfTrue="1">
      <formula>$B$202&gt;0</formula>
    </cfRule>
  </conditionalFormatting>
  <conditionalFormatting sqref="L201">
    <cfRule type="expression" dxfId="498" priority="340" stopIfTrue="1">
      <formula>$B$201&gt;0</formula>
    </cfRule>
  </conditionalFormatting>
  <conditionalFormatting sqref="L200">
    <cfRule type="expression" dxfId="497" priority="339" stopIfTrue="1">
      <formula>$B$200&gt;0</formula>
    </cfRule>
  </conditionalFormatting>
  <conditionalFormatting sqref="L199">
    <cfRule type="expression" dxfId="496" priority="338" stopIfTrue="1">
      <formula>$B$199&gt;0</formula>
    </cfRule>
  </conditionalFormatting>
  <conditionalFormatting sqref="L198">
    <cfRule type="expression" dxfId="495" priority="337" stopIfTrue="1">
      <formula>$B$198&gt;0</formula>
    </cfRule>
  </conditionalFormatting>
  <conditionalFormatting sqref="L197">
    <cfRule type="expression" dxfId="494" priority="336" stopIfTrue="1">
      <formula>$B$197&gt;0</formula>
    </cfRule>
  </conditionalFormatting>
  <conditionalFormatting sqref="L196">
    <cfRule type="expression" dxfId="493" priority="335" stopIfTrue="1">
      <formula>$B$196&gt;0</formula>
    </cfRule>
  </conditionalFormatting>
  <conditionalFormatting sqref="L206">
    <cfRule type="expression" dxfId="492" priority="334" stopIfTrue="1">
      <formula>$B$206&gt;0</formula>
    </cfRule>
  </conditionalFormatting>
  <conditionalFormatting sqref="L207">
    <cfRule type="expression" dxfId="491" priority="333" stopIfTrue="1">
      <formula>$B$207&gt;0</formula>
    </cfRule>
  </conditionalFormatting>
  <conditionalFormatting sqref="L208">
    <cfRule type="expression" dxfId="490" priority="332" stopIfTrue="1">
      <formula>$B$208&gt;0</formula>
    </cfRule>
  </conditionalFormatting>
  <conditionalFormatting sqref="L209">
    <cfRule type="expression" dxfId="489" priority="331" stopIfTrue="1">
      <formula>$B$209&gt;0</formula>
    </cfRule>
  </conditionalFormatting>
  <conditionalFormatting sqref="L210">
    <cfRule type="expression" dxfId="488" priority="330" stopIfTrue="1">
      <formula>$B$210&gt;0</formula>
    </cfRule>
  </conditionalFormatting>
  <conditionalFormatting sqref="L211">
    <cfRule type="expression" dxfId="487" priority="329" stopIfTrue="1">
      <formula>$B$211&gt;0</formula>
    </cfRule>
  </conditionalFormatting>
  <conditionalFormatting sqref="L212">
    <cfRule type="expression" dxfId="486" priority="328" stopIfTrue="1">
      <formula>$B$212&gt;0</formula>
    </cfRule>
  </conditionalFormatting>
  <conditionalFormatting sqref="L213">
    <cfRule type="expression" dxfId="485" priority="327" stopIfTrue="1">
      <formula>$B$213&gt;0</formula>
    </cfRule>
  </conditionalFormatting>
  <conditionalFormatting sqref="L214">
    <cfRule type="expression" dxfId="484" priority="326" stopIfTrue="1">
      <formula>$B$214&gt;0</formula>
    </cfRule>
  </conditionalFormatting>
  <conditionalFormatting sqref="L215">
    <cfRule type="expression" dxfId="483" priority="325" stopIfTrue="1">
      <formula>$B$215&gt;0</formula>
    </cfRule>
  </conditionalFormatting>
  <conditionalFormatting sqref="C200:K200">
    <cfRule type="expression" dxfId="482" priority="298" stopIfTrue="1">
      <formula>COUNTBLANK($C$200)*$B$200*(2-$AK$184)&gt;0</formula>
    </cfRule>
    <cfRule type="expression" dxfId="481" priority="324" stopIfTrue="1">
      <formula>$B$200*($AK$184-1)+COUNTA(C200)&gt;0</formula>
    </cfRule>
  </conditionalFormatting>
  <conditionalFormatting sqref="C201:K201">
    <cfRule type="expression" dxfId="480" priority="297" stopIfTrue="1">
      <formula>COUNTBLANK($C$201)*$B$201*(2-$AK$184)&gt;0</formula>
    </cfRule>
    <cfRule type="expression" dxfId="479" priority="323" stopIfTrue="1">
      <formula>$B$201*($AK$184-1)+COUNTA(C201)&gt;0</formula>
    </cfRule>
  </conditionalFormatting>
  <conditionalFormatting sqref="C202:K202">
    <cfRule type="expression" dxfId="478" priority="296" stopIfTrue="1">
      <formula>COUNTBLANK($C$202)*$B$202*(2-$AK$184)&gt;0</formula>
    </cfRule>
    <cfRule type="expression" dxfId="477" priority="322" stopIfTrue="1">
      <formula>$B$202*($AK$184-1)+COUNTA(C202)&gt;0</formula>
    </cfRule>
  </conditionalFormatting>
  <conditionalFormatting sqref="C203:K203">
    <cfRule type="expression" dxfId="476" priority="295" stopIfTrue="1">
      <formula>COUNTBLANK($C$203)*$B$203*(2-$AK$184)&gt;0</formula>
    </cfRule>
    <cfRule type="expression" dxfId="475" priority="321" stopIfTrue="1">
      <formula>$B$203*($AK$184-1)+COUNTA(C203)&gt;0</formula>
    </cfRule>
  </conditionalFormatting>
  <conditionalFormatting sqref="C204:K204">
    <cfRule type="expression" dxfId="474" priority="294" stopIfTrue="1">
      <formula>COUNTBLANK($C$204)*$B$204*(2-$AK$184)&gt;0</formula>
    </cfRule>
    <cfRule type="expression" dxfId="473" priority="320" stopIfTrue="1">
      <formula>$B$204*($AK$184-1)+COUNTA(C204)&gt;0</formula>
    </cfRule>
  </conditionalFormatting>
  <conditionalFormatting sqref="C210">
    <cfRule type="expression" dxfId="472" priority="318" stopIfTrue="1">
      <formula>$B$210*($AK$184-1)+COUNTA(C210)&gt;0</formula>
    </cfRule>
    <cfRule type="expression" dxfId="471" priority="319" stopIfTrue="1">
      <formula>COUNTBLANK($C$210)*$B$210*(2-$AK$184)&gt;0</formula>
    </cfRule>
  </conditionalFormatting>
  <conditionalFormatting sqref="C211">
    <cfRule type="expression" dxfId="470" priority="316" stopIfTrue="1">
      <formula>$B$211*($AK$184-1)+COUNTA(C211)&gt;0</formula>
    </cfRule>
    <cfRule type="expression" dxfId="469" priority="317" stopIfTrue="1">
      <formula>COUNTBLANK($C$211)*$B$211*(2-$AK$184)&gt;0</formula>
    </cfRule>
  </conditionalFormatting>
  <conditionalFormatting sqref="C215">
    <cfRule type="expression" dxfId="468" priority="314" stopIfTrue="1">
      <formula>$B$215*($AK$184-1)+COUNTA(C215)&gt;0</formula>
    </cfRule>
    <cfRule type="expression" dxfId="467" priority="315" stopIfTrue="1">
      <formula>COUNTBLANK($C$215)*$B$215*(2-$AK$184)&gt;0</formula>
    </cfRule>
  </conditionalFormatting>
  <conditionalFormatting sqref="L217">
    <cfRule type="expression" dxfId="466" priority="313" stopIfTrue="1">
      <formula>$B$217&gt;0</formula>
    </cfRule>
  </conditionalFormatting>
  <conditionalFormatting sqref="L218">
    <cfRule type="expression" dxfId="465" priority="312" stopIfTrue="1">
      <formula>$B$218&gt;0</formula>
    </cfRule>
  </conditionalFormatting>
  <conditionalFormatting sqref="L219">
    <cfRule type="expression" dxfId="464" priority="311" stopIfTrue="1">
      <formula>$B$219&gt;0</formula>
    </cfRule>
  </conditionalFormatting>
  <conditionalFormatting sqref="L220">
    <cfRule type="expression" dxfId="463" priority="310" stopIfTrue="1">
      <formula>$B$220&gt;0</formula>
    </cfRule>
  </conditionalFormatting>
  <conditionalFormatting sqref="L221">
    <cfRule type="expression" dxfId="462" priority="309" stopIfTrue="1">
      <formula>$B$221&gt;0</formula>
    </cfRule>
  </conditionalFormatting>
  <conditionalFormatting sqref="L222">
    <cfRule type="expression" dxfId="461" priority="308" stopIfTrue="1">
      <formula>$B$222&gt;0</formula>
    </cfRule>
  </conditionalFormatting>
  <conditionalFormatting sqref="L223">
    <cfRule type="expression" dxfId="460" priority="307" stopIfTrue="1">
      <formula>$B$223&gt;0</formula>
    </cfRule>
  </conditionalFormatting>
  <conditionalFormatting sqref="L224">
    <cfRule type="expression" dxfId="459" priority="306" stopIfTrue="1">
      <formula>$B$224&gt;0</formula>
    </cfRule>
  </conditionalFormatting>
  <conditionalFormatting sqref="L225">
    <cfRule type="expression" dxfId="458" priority="305" stopIfTrue="1">
      <formula>$B$225&gt;0</formula>
    </cfRule>
  </conditionalFormatting>
  <conditionalFormatting sqref="L226">
    <cfRule type="expression" dxfId="457" priority="304" stopIfTrue="1">
      <formula>$B$226&gt;0</formula>
    </cfRule>
  </conditionalFormatting>
  <conditionalFormatting sqref="L227">
    <cfRule type="expression" dxfId="456" priority="303" stopIfTrue="1">
      <formula>$B$227&gt;0</formula>
    </cfRule>
  </conditionalFormatting>
  <conditionalFormatting sqref="L228">
    <cfRule type="expression" dxfId="455" priority="302" stopIfTrue="1">
      <formula>$B$228&gt;0</formula>
    </cfRule>
  </conditionalFormatting>
  <conditionalFormatting sqref="L229">
    <cfRule type="expression" dxfId="454" priority="301" stopIfTrue="1">
      <formula>$B$229&gt;0</formula>
    </cfRule>
  </conditionalFormatting>
  <conditionalFormatting sqref="L230">
    <cfRule type="expression" dxfId="453" priority="300" stopIfTrue="1">
      <formula>$B$230&gt;0</formula>
    </cfRule>
  </conditionalFormatting>
  <conditionalFormatting sqref="L231">
    <cfRule type="expression" dxfId="452" priority="299" stopIfTrue="1">
      <formula>$B$231&gt;0</formula>
    </cfRule>
  </conditionalFormatting>
  <conditionalFormatting sqref="E154:AG154">
    <cfRule type="expression" dxfId="451" priority="656" stopIfTrue="1">
      <formula>$AC$153="Yes"</formula>
    </cfRule>
  </conditionalFormatting>
  <conditionalFormatting sqref="AE323:AG327">
    <cfRule type="expression" dxfId="450" priority="251" stopIfTrue="1">
      <formula>$A$323=1</formula>
    </cfRule>
  </conditionalFormatting>
  <conditionalFormatting sqref="AE328:AG331">
    <cfRule type="expression" dxfId="449" priority="293" stopIfTrue="1">
      <formula>$A$328=1</formula>
    </cfRule>
  </conditionalFormatting>
  <conditionalFormatting sqref="AE332:AG335">
    <cfRule type="expression" dxfId="448" priority="292" stopIfTrue="1">
      <formula>$A$332=1</formula>
    </cfRule>
  </conditionalFormatting>
  <conditionalFormatting sqref="AE336:AG339">
    <cfRule type="expression" dxfId="447" priority="291" stopIfTrue="1">
      <formula>$A$336=1</formula>
    </cfRule>
  </conditionalFormatting>
  <conditionalFormatting sqref="K336:AD339">
    <cfRule type="expression" dxfId="446" priority="290" stopIfTrue="1">
      <formula>$A$336=1</formula>
    </cfRule>
  </conditionalFormatting>
  <conditionalFormatting sqref="K344:AD348">
    <cfRule type="expression" dxfId="445" priority="289" stopIfTrue="1">
      <formula>$A$344=1</formula>
    </cfRule>
  </conditionalFormatting>
  <conditionalFormatting sqref="AE344:AG348">
    <cfRule type="expression" dxfId="444" priority="288" stopIfTrue="1">
      <formula>$A$344=1</formula>
    </cfRule>
  </conditionalFormatting>
  <conditionalFormatting sqref="K349:AD352">
    <cfRule type="expression" dxfId="443" priority="287" stopIfTrue="1">
      <formula>$A$349=1</formula>
    </cfRule>
    <cfRule type="expression" dxfId="442" priority="664" stopIfTrue="1">
      <formula>$AK$349=1</formula>
    </cfRule>
  </conditionalFormatting>
  <conditionalFormatting sqref="AE349:AG352">
    <cfRule type="expression" dxfId="441" priority="252" stopIfTrue="1">
      <formula>$A$349=1</formula>
    </cfRule>
    <cfRule type="expression" dxfId="440" priority="663" stopIfTrue="1">
      <formula>$AK$349=1</formula>
    </cfRule>
  </conditionalFormatting>
  <conditionalFormatting sqref="K353:AD355">
    <cfRule type="expression" dxfId="439" priority="286" stopIfTrue="1">
      <formula>$A$353=1</formula>
    </cfRule>
    <cfRule type="expression" dxfId="438" priority="665" stopIfTrue="1">
      <formula>$AK$353=1</formula>
    </cfRule>
  </conditionalFormatting>
  <conditionalFormatting sqref="K356:AD359">
    <cfRule type="expression" dxfId="437" priority="285" stopIfTrue="1">
      <formula>$A$356=1</formula>
    </cfRule>
    <cfRule type="expression" dxfId="436" priority="666" stopIfTrue="1">
      <formula>$AK$356=1</formula>
    </cfRule>
  </conditionalFormatting>
  <conditionalFormatting sqref="K360:AD363">
    <cfRule type="expression" dxfId="435" priority="284" stopIfTrue="1">
      <formula>$A$360=1</formula>
    </cfRule>
  </conditionalFormatting>
  <conditionalFormatting sqref="AE356:AG359">
    <cfRule type="expression" dxfId="434" priority="283" stopIfTrue="1">
      <formula>$A$356=1</formula>
    </cfRule>
    <cfRule type="expression" dxfId="433" priority="668" stopIfTrue="1">
      <formula>$AK$356=1</formula>
    </cfRule>
  </conditionalFormatting>
  <conditionalFormatting sqref="AE360:AG363">
    <cfRule type="expression" dxfId="432" priority="282" stopIfTrue="1">
      <formula>$A$360=1</formula>
    </cfRule>
  </conditionalFormatting>
  <conditionalFormatting sqref="Q754:S755 U754:W755">
    <cfRule type="expression" dxfId="431" priority="281" stopIfTrue="1">
      <formula>$AK$754=1</formula>
    </cfRule>
  </conditionalFormatting>
  <conditionalFormatting sqref="W752:AB752">
    <cfRule type="expression" dxfId="430" priority="280" stopIfTrue="1">
      <formula>$AK$752=1</formula>
    </cfRule>
  </conditionalFormatting>
  <conditionalFormatting sqref="AE323:AG327">
    <cfRule type="expression" dxfId="429" priority="657" stopIfTrue="1">
      <formula>$AK$323=1</formula>
    </cfRule>
  </conditionalFormatting>
  <conditionalFormatting sqref="AE328:AG331">
    <cfRule type="expression" dxfId="428" priority="658" stopIfTrue="1">
      <formula>$AK$328=1</formula>
    </cfRule>
  </conditionalFormatting>
  <conditionalFormatting sqref="K340:AD343">
    <cfRule type="expression" dxfId="427" priority="659" stopIfTrue="1">
      <formula>$D$302="Yes"</formula>
    </cfRule>
  </conditionalFormatting>
  <conditionalFormatting sqref="K336:AG339">
    <cfRule type="expression" dxfId="426" priority="661" stopIfTrue="1">
      <formula>$AK$336=1</formula>
    </cfRule>
  </conditionalFormatting>
  <conditionalFormatting sqref="K344:AG348">
    <cfRule type="expression" dxfId="425" priority="662" stopIfTrue="1">
      <formula>$AK$344=1</formula>
    </cfRule>
  </conditionalFormatting>
  <conditionalFormatting sqref="K360:AG363">
    <cfRule type="expression" dxfId="424" priority="667" stopIfTrue="1">
      <formula>$AK$360=1</formula>
    </cfRule>
  </conditionalFormatting>
  <conditionalFormatting sqref="C195:K195">
    <cfRule type="expression" dxfId="423" priority="669" stopIfTrue="1">
      <formula>$B$195*($AK$184-1)+COUNTA(C195)&gt;0</formula>
    </cfRule>
    <cfRule type="expression" dxfId="422" priority="670" stopIfTrue="1">
      <formula>COUNTBLANK($C$195)*$B$195*(2-$AK$184)&gt;0</formula>
    </cfRule>
  </conditionalFormatting>
  <conditionalFormatting sqref="C196:K196">
    <cfRule type="expression" dxfId="421" priority="671" stopIfTrue="1">
      <formula>COUNTBLANK($C$196)*$B$196*(2-$AK$184)&gt;0</formula>
    </cfRule>
    <cfRule type="expression" dxfId="420" priority="672" stopIfTrue="1">
      <formula>$B$196*($AK$184-1)+COUNTA(C196)&gt;0</formula>
    </cfRule>
  </conditionalFormatting>
  <conditionalFormatting sqref="C197:K197">
    <cfRule type="expression" dxfId="419" priority="673" stopIfTrue="1">
      <formula>COUNTBLANK($C$197)*$B$197*(2-$AK$184)&gt;0</formula>
    </cfRule>
    <cfRule type="expression" dxfId="418" priority="674" stopIfTrue="1">
      <formula>$B$197*($AK$184-1)+COUNTA(C197)&gt;0</formula>
    </cfRule>
  </conditionalFormatting>
  <conditionalFormatting sqref="C198:K198">
    <cfRule type="expression" dxfId="417" priority="675" stopIfTrue="1">
      <formula>COUNTBLANK($C$198)*$B$198*(2-$AK$184)&gt;0</formula>
    </cfRule>
    <cfRule type="expression" dxfId="416" priority="676" stopIfTrue="1">
      <formula>$B$198*($AK$184-1)+COUNTA(C198)&gt;0</formula>
    </cfRule>
  </conditionalFormatting>
  <conditionalFormatting sqref="C199:K199">
    <cfRule type="expression" dxfId="415" priority="677" stopIfTrue="1">
      <formula>COUNTBLANK($C$199)*$B$199*(2-$AK$184)&gt;0</formula>
    </cfRule>
    <cfRule type="expression" dxfId="414" priority="678" stopIfTrue="1">
      <formula>$B$199*($AK$184-1)+COUNTA(C199)&gt;0</formula>
    </cfRule>
  </conditionalFormatting>
  <conditionalFormatting sqref="C417:D417 F417:AF417">
    <cfRule type="expression" dxfId="413" priority="279" stopIfTrue="1">
      <formula>$AE$377="No"</formula>
    </cfRule>
  </conditionalFormatting>
  <conditionalFormatting sqref="C269:AF271">
    <cfRule type="expression" dxfId="412" priority="278" stopIfTrue="1">
      <formula>$AB$266="No"</formula>
    </cfRule>
  </conditionalFormatting>
  <conditionalFormatting sqref="C267:AA267">
    <cfRule type="expression" dxfId="411" priority="277" stopIfTrue="1">
      <formula>$AB$266="No"</formula>
    </cfRule>
  </conditionalFormatting>
  <conditionalFormatting sqref="N713:O714">
    <cfRule type="expression" dxfId="410" priority="276" stopIfTrue="1">
      <formula>$AK$713=1</formula>
    </cfRule>
  </conditionalFormatting>
  <conditionalFormatting sqref="N717:O718">
    <cfRule type="expression" dxfId="409" priority="275" stopIfTrue="1">
      <formula>$AK$717=1</formula>
    </cfRule>
  </conditionalFormatting>
  <conditionalFormatting sqref="P706:AF706">
    <cfRule type="expression" dxfId="408" priority="680" stopIfTrue="1">
      <formula>$AK$706=1</formula>
    </cfRule>
    <cfRule type="expression" dxfId="407" priority="681" stopIfTrue="1">
      <formula>$B$706=1</formula>
    </cfRule>
    <cfRule type="expression" dxfId="406" priority="682" stopIfTrue="1">
      <formula>$N$706="No"</formula>
    </cfRule>
  </conditionalFormatting>
  <conditionalFormatting sqref="P708:AF708">
    <cfRule type="expression" dxfId="405" priority="684" stopIfTrue="1">
      <formula>$AK$708=1</formula>
    </cfRule>
    <cfRule type="expression" dxfId="404" priority="685" stopIfTrue="1">
      <formula>$B$708=1</formula>
    </cfRule>
    <cfRule type="expression" dxfId="403" priority="686" stopIfTrue="1">
      <formula>$N$708="No"</formula>
    </cfRule>
  </conditionalFormatting>
  <conditionalFormatting sqref="P713:AF714">
    <cfRule type="expression" dxfId="402" priority="687" stopIfTrue="1">
      <formula>$AK$713=1</formula>
    </cfRule>
    <cfRule type="expression" dxfId="401" priority="688" stopIfTrue="1">
      <formula>$N$713="No"</formula>
    </cfRule>
  </conditionalFormatting>
  <conditionalFormatting sqref="P715:AF716">
    <cfRule type="expression" dxfId="400" priority="689" stopIfTrue="1">
      <formula>$AK$715=1</formula>
    </cfRule>
    <cfRule type="expression" dxfId="399" priority="690" stopIfTrue="1">
      <formula>$N$715="No"</formula>
    </cfRule>
  </conditionalFormatting>
  <conditionalFormatting sqref="P717:AF718">
    <cfRule type="expression" dxfId="398" priority="691" stopIfTrue="1">
      <formula>$AK$717=1</formula>
    </cfRule>
    <cfRule type="expression" dxfId="397" priority="692" stopIfTrue="1">
      <formula>$N$717="No"</formula>
    </cfRule>
  </conditionalFormatting>
  <conditionalFormatting sqref="R651 M651">
    <cfRule type="expression" dxfId="396" priority="274" stopIfTrue="1">
      <formula>$A$651=1</formula>
    </cfRule>
  </conditionalFormatting>
  <conditionalFormatting sqref="S656:U656">
    <cfRule type="expression" dxfId="395" priority="84" stopIfTrue="1">
      <formula>$A$656*$B$648=0</formula>
    </cfRule>
    <cfRule type="expression" dxfId="394" priority="273" stopIfTrue="1">
      <formula>$A$656=1</formula>
    </cfRule>
  </conditionalFormatting>
  <conditionalFormatting sqref="R659:U659">
    <cfRule type="expression" dxfId="393" priority="272" stopIfTrue="1">
      <formula>$A$659=1</formula>
    </cfRule>
  </conditionalFormatting>
  <conditionalFormatting sqref="S661:U661">
    <cfRule type="expression" dxfId="392" priority="75" stopIfTrue="1">
      <formula>$B$648*$A$661=0</formula>
    </cfRule>
    <cfRule type="expression" dxfId="391" priority="271" stopIfTrue="1">
      <formula>$A$661=1</formula>
    </cfRule>
  </conditionalFormatting>
  <conditionalFormatting sqref="R663:U663">
    <cfRule type="expression" dxfId="390" priority="270" stopIfTrue="1">
      <formula>$A$663=1</formula>
    </cfRule>
  </conditionalFormatting>
  <conditionalFormatting sqref="S652:U652">
    <cfRule type="expression" dxfId="389" priority="85" stopIfTrue="1">
      <formula>$A$652*$B$648=0</formula>
    </cfRule>
    <cfRule type="expression" dxfId="388" priority="693" stopIfTrue="1">
      <formula>$A$652=1</formula>
    </cfRule>
  </conditionalFormatting>
  <conditionalFormatting sqref="C424:AG424">
    <cfRule type="expression" dxfId="387" priority="694" stopIfTrue="1">
      <formula>$A$424=1</formula>
    </cfRule>
  </conditionalFormatting>
  <conditionalFormatting sqref="G420:K420">
    <cfRule type="expression" dxfId="386" priority="695" stopIfTrue="1">
      <formula>$A$417=1</formula>
    </cfRule>
  </conditionalFormatting>
  <conditionalFormatting sqref="U319:AG319">
    <cfRule type="expression" dxfId="385" priority="269" stopIfTrue="1">
      <formula>$A$313&lt;&gt;1</formula>
    </cfRule>
  </conditionalFormatting>
  <conditionalFormatting sqref="E282:AG284">
    <cfRule type="expression" dxfId="384" priority="268" stopIfTrue="1">
      <formula>$AD$280&lt;&gt;"Yes"</formula>
    </cfRule>
  </conditionalFormatting>
  <conditionalFormatting sqref="AE332:AG335">
    <cfRule type="expression" dxfId="383" priority="660" stopIfTrue="1">
      <formula>$AK$332=1</formula>
    </cfRule>
  </conditionalFormatting>
  <conditionalFormatting sqref="AC772:AD772">
    <cfRule type="expression" dxfId="382" priority="267" stopIfTrue="1">
      <formula>$AK$772=1</formula>
    </cfRule>
  </conditionalFormatting>
  <conditionalFormatting sqref="AC774:AD774">
    <cfRule type="expression" dxfId="381" priority="266" stopIfTrue="1">
      <formula>$AK$774=1</formula>
    </cfRule>
  </conditionalFormatting>
  <conditionalFormatting sqref="AC776:AD776">
    <cfRule type="expression" dxfId="380" priority="265" stopIfTrue="1">
      <formula>$AK$776=1</formula>
    </cfRule>
  </conditionalFormatting>
  <conditionalFormatting sqref="AC780:AD780">
    <cfRule type="expression" dxfId="379" priority="264" stopIfTrue="1">
      <formula>$AK$780=1</formula>
    </cfRule>
  </conditionalFormatting>
  <conditionalFormatting sqref="M766:V770 R764:R765 M764:M765">
    <cfRule type="expression" dxfId="378" priority="263" stopIfTrue="1">
      <formula>$A$749*$A$749+$AK$765+$AJ$765=10</formula>
    </cfRule>
  </conditionalFormatting>
  <conditionalFormatting sqref="E420 C419:AG419">
    <cfRule type="expression" dxfId="377" priority="262" stopIfTrue="1">
      <formula>$A$417=1</formula>
    </cfRule>
  </conditionalFormatting>
  <conditionalFormatting sqref="X472:AF474">
    <cfRule type="expression" dxfId="376" priority="261" stopIfTrue="1">
      <formula>$M$472&lt;&gt;"Yes"</formula>
    </cfRule>
  </conditionalFormatting>
  <conditionalFormatting sqref="S640">
    <cfRule type="expression" dxfId="375" priority="260" stopIfTrue="1">
      <formula>$C$640&lt;"a"</formula>
    </cfRule>
  </conditionalFormatting>
  <conditionalFormatting sqref="Q640:R640 Y640:Z640">
    <cfRule type="expression" dxfId="374" priority="240" stopIfTrue="1">
      <formula>$AK$640=1</formula>
    </cfRule>
    <cfRule type="expression" dxfId="373" priority="696" stopIfTrue="1">
      <formula>$C$640&lt;"a"</formula>
    </cfRule>
  </conditionalFormatting>
  <conditionalFormatting sqref="N715:O716">
    <cfRule type="expression" dxfId="372" priority="697" stopIfTrue="1">
      <formula>$AK$715=1</formula>
    </cfRule>
  </conditionalFormatting>
  <conditionalFormatting sqref="P719:AF720">
    <cfRule type="expression" dxfId="371" priority="698" stopIfTrue="1">
      <formula>$N$719&lt;&gt;"Yes"</formula>
    </cfRule>
    <cfRule type="expression" dxfId="370" priority="699" stopIfTrue="1">
      <formula>$AK$719=1</formula>
    </cfRule>
  </conditionalFormatting>
  <conditionalFormatting sqref="P702:AF702">
    <cfRule type="expression" dxfId="369" priority="700" stopIfTrue="1">
      <formula>$N$702="No"</formula>
    </cfRule>
    <cfRule type="expression" dxfId="368" priority="701" stopIfTrue="1">
      <formula>$AK$702=1</formula>
    </cfRule>
  </conditionalFormatting>
  <conditionalFormatting sqref="P703:AF703">
    <cfRule type="expression" dxfId="367" priority="702" stopIfTrue="1">
      <formula>$N$703="No"</formula>
    </cfRule>
    <cfRule type="expression" dxfId="366" priority="703" stopIfTrue="1">
      <formula>$AK$703=1</formula>
    </cfRule>
  </conditionalFormatting>
  <conditionalFormatting sqref="N704:AF704">
    <cfRule type="expression" dxfId="365" priority="704" stopIfTrue="1">
      <formula>$AK$704=1</formula>
    </cfRule>
  </conditionalFormatting>
  <conditionalFormatting sqref="N705:AF705">
    <cfRule type="expression" dxfId="364" priority="705" stopIfTrue="1">
      <formula>$AK$705=1</formula>
    </cfRule>
  </conditionalFormatting>
  <conditionalFormatting sqref="I638:Z638">
    <cfRule type="expression" dxfId="363" priority="259" stopIfTrue="1">
      <formula>LEFT($U$638,5)="ERROR"</formula>
    </cfRule>
  </conditionalFormatting>
  <conditionalFormatting sqref="AE684:AE687 C684:H687 I684:AD685">
    <cfRule type="expression" dxfId="362" priority="258" stopIfTrue="1">
      <formula>$B$136=1</formula>
    </cfRule>
  </conditionalFormatting>
  <conditionalFormatting sqref="P704:AF704">
    <cfRule type="expression" dxfId="361" priority="257" stopIfTrue="1">
      <formula>$N$704="No"</formula>
    </cfRule>
  </conditionalFormatting>
  <conditionalFormatting sqref="P705:AF705">
    <cfRule type="expression" dxfId="360" priority="256" stopIfTrue="1">
      <formula>$N$705="No"</formula>
    </cfRule>
  </conditionalFormatting>
  <conditionalFormatting sqref="C402:K404">
    <cfRule type="expression" dxfId="359" priority="255" stopIfTrue="1">
      <formula>$B$402=3</formula>
    </cfRule>
  </conditionalFormatting>
  <conditionalFormatting sqref="AE353:AG355">
    <cfRule type="expression" dxfId="358" priority="253" stopIfTrue="1">
      <formula>$AK$353=1</formula>
    </cfRule>
    <cfRule type="expression" dxfId="357" priority="254" stopIfTrue="1">
      <formula>$A$353=1</formula>
    </cfRule>
  </conditionalFormatting>
  <conditionalFormatting sqref="C405:K407">
    <cfRule type="expression" dxfId="356" priority="250" stopIfTrue="1">
      <formula>$B$405&gt;2</formula>
    </cfRule>
  </conditionalFormatting>
  <conditionalFormatting sqref="C408:K410">
    <cfRule type="expression" dxfId="355" priority="249" stopIfTrue="1">
      <formula>$B$408=3</formula>
    </cfRule>
  </conditionalFormatting>
  <conditionalFormatting sqref="C411:K413">
    <cfRule type="expression" dxfId="354" priority="248" stopIfTrue="1">
      <formula>$B$411=3</formula>
    </cfRule>
  </conditionalFormatting>
  <conditionalFormatting sqref="C399:K401">
    <cfRule type="expression" dxfId="353" priority="247" stopIfTrue="1">
      <formula>$B$399=3</formula>
    </cfRule>
  </conditionalFormatting>
  <conditionalFormatting sqref="C397:K398">
    <cfRule type="expression" dxfId="352" priority="246" stopIfTrue="1">
      <formula>$B$397=3</formula>
    </cfRule>
  </conditionalFormatting>
  <conditionalFormatting sqref="C394:K396">
    <cfRule type="expression" dxfId="351" priority="245" stopIfTrue="1">
      <formula>$B$394=3</formula>
    </cfRule>
  </conditionalFormatting>
  <conditionalFormatting sqref="C391:K393">
    <cfRule type="expression" dxfId="350" priority="244" stopIfTrue="1">
      <formula>$B$391=3</formula>
    </cfRule>
  </conditionalFormatting>
  <conditionalFormatting sqref="AB314:AE317">
    <cfRule type="expression" dxfId="349" priority="679" stopIfTrue="1">
      <formula>$A$313=0</formula>
    </cfRule>
  </conditionalFormatting>
  <conditionalFormatting sqref="AD419:AE419">
    <cfRule type="expression" dxfId="348" priority="243" stopIfTrue="1">
      <formula>$AK$419=1</formula>
    </cfRule>
  </conditionalFormatting>
  <conditionalFormatting sqref="AD424:AE424">
    <cfRule type="expression" dxfId="347" priority="242" stopIfTrue="1">
      <formula>$AK$424=1</formula>
    </cfRule>
  </conditionalFormatting>
  <conditionalFormatting sqref="AD426:AE426 F428:AF428">
    <cfRule type="expression" dxfId="346" priority="241" stopIfTrue="1">
      <formula>$AK$428=1</formula>
    </cfRule>
  </conditionalFormatting>
  <conditionalFormatting sqref="L388:AG390">
    <cfRule type="expression" dxfId="345" priority="229" stopIfTrue="1">
      <formula>$B$388&gt;=2</formula>
    </cfRule>
  </conditionalFormatting>
  <conditionalFormatting sqref="L385:AG387">
    <cfRule type="expression" dxfId="344" priority="237" stopIfTrue="1">
      <formula>$B$385&gt;=2</formula>
    </cfRule>
  </conditionalFormatting>
  <conditionalFormatting sqref="C385:K387">
    <cfRule type="expression" dxfId="343" priority="238" stopIfTrue="1">
      <formula>$B$385=3</formula>
    </cfRule>
  </conditionalFormatting>
  <conditionalFormatting sqref="C388:K390">
    <cfRule type="expression" dxfId="342" priority="239" stopIfTrue="1">
      <formula>$B$388=3</formula>
    </cfRule>
  </conditionalFormatting>
  <conditionalFormatting sqref="X888:Y888">
    <cfRule type="expression" dxfId="341" priority="710" stopIfTrue="1">
      <formula>$AK$888=1</formula>
    </cfRule>
  </conditionalFormatting>
  <conditionalFormatting sqref="M892:AG892 I892:I901 C892:C901">
    <cfRule type="expression" dxfId="340" priority="711" stopIfTrue="1">
      <formula>$AK$888=1</formula>
    </cfRule>
  </conditionalFormatting>
  <conditionalFormatting sqref="C388:H390">
    <cfRule type="expression" dxfId="339" priority="709" stopIfTrue="1">
      <formula>$B$388=1</formula>
    </cfRule>
  </conditionalFormatting>
  <conditionalFormatting sqref="C385:H387">
    <cfRule type="expression" dxfId="338" priority="708" stopIfTrue="1">
      <formula>$B$385=1</formula>
    </cfRule>
  </conditionalFormatting>
  <conditionalFormatting sqref="I385:AG387">
    <cfRule type="expression" dxfId="337" priority="230" stopIfTrue="1">
      <formula>($AK$387-$B$385)&gt;6</formula>
    </cfRule>
  </conditionalFormatting>
  <conditionalFormatting sqref="J370:AF370 F370:H370">
    <cfRule type="expression" dxfId="336" priority="236" stopIfTrue="1">
      <formula>$AE$368&lt;&gt;"Yes"</formula>
    </cfRule>
  </conditionalFormatting>
  <conditionalFormatting sqref="C372:AG372">
    <cfRule type="expression" dxfId="335" priority="235" stopIfTrue="1">
      <formula>$C$372&gt;0</formula>
    </cfRule>
  </conditionalFormatting>
  <conditionalFormatting sqref="C367:AF369">
    <cfRule type="expression" dxfId="334" priority="234" stopIfTrue="1">
      <formula>$A$368=0</formula>
    </cfRule>
  </conditionalFormatting>
  <conditionalFormatting sqref="C374:AG374">
    <cfRule type="expression" dxfId="333" priority="233" stopIfTrue="1">
      <formula>$C$372=0</formula>
    </cfRule>
  </conditionalFormatting>
  <conditionalFormatting sqref="AD276:AE276 AD280:AE280 AD274:AE274">
    <cfRule type="expression" dxfId="332" priority="712" stopIfTrue="1">
      <formula>$AK$274=1</formula>
    </cfRule>
  </conditionalFormatting>
  <conditionalFormatting sqref="C310:AF311">
    <cfRule type="expression" dxfId="331" priority="232" stopIfTrue="1">
      <formula>$D$298&lt;&gt;"Yes"</formula>
    </cfRule>
  </conditionalFormatting>
  <conditionalFormatting sqref="AE308:AF308">
    <cfRule type="expression" dxfId="330" priority="231" stopIfTrue="1">
      <formula>$D$298&lt;&gt;"Yes"</formula>
    </cfRule>
  </conditionalFormatting>
  <conditionalFormatting sqref="E368">
    <cfRule type="expression" dxfId="329" priority="713" stopIfTrue="1">
      <formula>$B$136&lt;&gt;1</formula>
    </cfRule>
  </conditionalFormatting>
  <conditionalFormatting sqref="AE368:AF368">
    <cfRule type="expression" dxfId="328" priority="714" stopIfTrue="1">
      <formula>$AK$370=1</formula>
    </cfRule>
    <cfRule type="expression" dxfId="327" priority="715" stopIfTrue="1">
      <formula>$B$136&lt;&gt;1</formula>
    </cfRule>
  </conditionalFormatting>
  <conditionalFormatting sqref="I370 G370">
    <cfRule type="expression" dxfId="326" priority="716" stopIfTrue="1">
      <formula>$AE$368&lt;&gt;"Yes"</formula>
    </cfRule>
  </conditionalFormatting>
  <conditionalFormatting sqref="AE370:AF370">
    <cfRule type="expression" dxfId="325" priority="717" stopIfTrue="1">
      <formula>$AK$370=1</formula>
    </cfRule>
    <cfRule type="expression" dxfId="324" priority="718" stopIfTrue="1">
      <formula>$AE$368&lt;&gt;"Yes"</formula>
    </cfRule>
  </conditionalFormatting>
  <conditionalFormatting sqref="I686:AD688">
    <cfRule type="expression" dxfId="323" priority="719" stopIfTrue="1">
      <formula>$B$136=1</formula>
    </cfRule>
  </conditionalFormatting>
  <conditionalFormatting sqref="O385:AG387">
    <cfRule type="expression" dxfId="322" priority="707" stopIfTrue="1">
      <formula>$B$385=1</formula>
    </cfRule>
  </conditionalFormatting>
  <conditionalFormatting sqref="O388:AG390">
    <cfRule type="expression" dxfId="321" priority="706" stopIfTrue="1">
      <formula>$B$388=1</formula>
    </cfRule>
  </conditionalFormatting>
  <conditionalFormatting sqref="I388:AG390">
    <cfRule type="expression" dxfId="320" priority="228" stopIfTrue="1">
      <formula>($AK$390-$B$388)&gt;6</formula>
    </cfRule>
  </conditionalFormatting>
  <conditionalFormatting sqref="E136">
    <cfRule type="expression" dxfId="319" priority="227" stopIfTrue="1">
      <formula>$AK$136=1</formula>
    </cfRule>
  </conditionalFormatting>
  <conditionalFormatting sqref="E138">
    <cfRule type="expression" dxfId="318" priority="720" stopIfTrue="1">
      <formula>$AK$138=1</formula>
    </cfRule>
  </conditionalFormatting>
  <conditionalFormatting sqref="M434">
    <cfRule type="expression" dxfId="317" priority="226" stopIfTrue="1">
      <formula>$AK$434=2</formula>
    </cfRule>
  </conditionalFormatting>
  <conditionalFormatting sqref="M435">
    <cfRule type="expression" dxfId="316" priority="225" stopIfTrue="1">
      <formula>$AK$435=2</formula>
    </cfRule>
  </conditionalFormatting>
  <conditionalFormatting sqref="M436">
    <cfRule type="expression" dxfId="315" priority="224" stopIfTrue="1">
      <formula>$AK$436=2</formula>
    </cfRule>
  </conditionalFormatting>
  <conditionalFormatting sqref="M437">
    <cfRule type="expression" dxfId="314" priority="223" stopIfTrue="1">
      <formula>$AK$437=2</formula>
    </cfRule>
  </conditionalFormatting>
  <conditionalFormatting sqref="M438">
    <cfRule type="expression" dxfId="313" priority="222" stopIfTrue="1">
      <formula>$AK$438=2</formula>
    </cfRule>
  </conditionalFormatting>
  <conditionalFormatting sqref="M439:M440">
    <cfRule type="expression" dxfId="312" priority="221" stopIfTrue="1">
      <formula>$AK$439=2</formula>
    </cfRule>
  </conditionalFormatting>
  <conditionalFormatting sqref="M441:O442">
    <cfRule type="expression" dxfId="311" priority="220" stopIfTrue="1">
      <formula>$AK$441=2</formula>
    </cfRule>
  </conditionalFormatting>
  <conditionalFormatting sqref="M453:O454">
    <cfRule type="expression" dxfId="310" priority="219" stopIfTrue="1">
      <formula>$AK$453=2</formula>
    </cfRule>
  </conditionalFormatting>
  <conditionalFormatting sqref="M452">
    <cfRule type="expression" dxfId="309" priority="218" stopIfTrue="1">
      <formula>$AK$452=2</formula>
    </cfRule>
  </conditionalFormatting>
  <conditionalFormatting sqref="M455">
    <cfRule type="expression" dxfId="308" priority="217" stopIfTrue="1">
      <formula>$AK$455=2</formula>
    </cfRule>
  </conditionalFormatting>
  <conditionalFormatting sqref="M456">
    <cfRule type="expression" dxfId="307" priority="216" stopIfTrue="1">
      <formula>$AK$456=2</formula>
    </cfRule>
  </conditionalFormatting>
  <conditionalFormatting sqref="M457">
    <cfRule type="expression" dxfId="306" priority="215" stopIfTrue="1">
      <formula>$AK$457=2</formula>
    </cfRule>
  </conditionalFormatting>
  <conditionalFormatting sqref="M443:O445">
    <cfRule type="expression" dxfId="305" priority="214" stopIfTrue="1">
      <formula>$AK$443=2</formula>
    </cfRule>
  </conditionalFormatting>
  <conditionalFormatting sqref="M446:O448">
    <cfRule type="expression" dxfId="304" priority="213" stopIfTrue="1">
      <formula>$AK$446=2</formula>
    </cfRule>
  </conditionalFormatting>
  <conditionalFormatting sqref="M449:O451">
    <cfRule type="expression" dxfId="303" priority="212" stopIfTrue="1">
      <formula>$AK$449=2</formula>
    </cfRule>
  </conditionalFormatting>
  <conditionalFormatting sqref="M458:O460">
    <cfRule type="expression" dxfId="302" priority="211" stopIfTrue="1">
      <formula>$AK$458=2</formula>
    </cfRule>
  </conditionalFormatting>
  <conditionalFormatting sqref="M461:O463">
    <cfRule type="expression" dxfId="301" priority="210" stopIfTrue="1">
      <formula>$AK$461=2</formula>
    </cfRule>
  </conditionalFormatting>
  <conditionalFormatting sqref="M472:O474">
    <cfRule type="expression" dxfId="300" priority="209" stopIfTrue="1">
      <formula>$AK$472=2</formula>
    </cfRule>
  </conditionalFormatting>
  <conditionalFormatting sqref="M475:O478">
    <cfRule type="expression" dxfId="299" priority="208" stopIfTrue="1">
      <formula>$AK$475=2</formula>
    </cfRule>
  </conditionalFormatting>
  <conditionalFormatting sqref="M468:O471">
    <cfRule type="expression" dxfId="298" priority="207" stopIfTrue="1">
      <formula>$AK$468=2</formula>
    </cfRule>
  </conditionalFormatting>
  <conditionalFormatting sqref="M464:O467">
    <cfRule type="expression" dxfId="297" priority="206" stopIfTrue="1">
      <formula>$AK$464=2</formula>
    </cfRule>
  </conditionalFormatting>
  <conditionalFormatting sqref="M482 AA482">
    <cfRule type="expression" dxfId="296" priority="205" stopIfTrue="1">
      <formula>$AK$482=2</formula>
    </cfRule>
  </conditionalFormatting>
  <conditionalFormatting sqref="M483 AA483">
    <cfRule type="expression" dxfId="295" priority="204" stopIfTrue="1">
      <formula>$AK$483=2</formula>
    </cfRule>
  </conditionalFormatting>
  <conditionalFormatting sqref="M484 U484 AA485">
    <cfRule type="expression" dxfId="294" priority="203" stopIfTrue="1">
      <formula>$AK$484=2</formula>
    </cfRule>
  </conditionalFormatting>
  <conditionalFormatting sqref="M488 AA488:AG489">
    <cfRule type="expression" dxfId="293" priority="202" stopIfTrue="1">
      <formula>$AK$488=2</formula>
    </cfRule>
  </conditionalFormatting>
  <conditionalFormatting sqref="M490 AD492 P494 U490:U491">
    <cfRule type="expression" dxfId="292" priority="201" stopIfTrue="1">
      <formula>$AK$490=2</formula>
    </cfRule>
  </conditionalFormatting>
  <conditionalFormatting sqref="U495:AG496 M495 AD497:AD498 P500">
    <cfRule type="expression" dxfId="291" priority="200" stopIfTrue="1">
      <formula>$AK$495=2</formula>
    </cfRule>
  </conditionalFormatting>
  <conditionalFormatting sqref="M501 P502 V503">
    <cfRule type="expression" dxfId="290" priority="199" stopIfTrue="1">
      <formula>$AK$501=2</formula>
    </cfRule>
  </conditionalFormatting>
  <conditionalFormatting sqref="M504 P505 V506">
    <cfRule type="expression" dxfId="289" priority="198" stopIfTrue="1">
      <formula>$AK$504=2</formula>
    </cfRule>
  </conditionalFormatting>
  <conditionalFormatting sqref="M507 P508:AG510">
    <cfRule type="expression" dxfId="288" priority="197" stopIfTrue="1">
      <formula>$AK$507=2</formula>
    </cfRule>
  </conditionalFormatting>
  <conditionalFormatting sqref="M511 P512:AG514">
    <cfRule type="expression" dxfId="287" priority="196" stopIfTrue="1">
      <formula>$AK$511=2</formula>
    </cfRule>
  </conditionalFormatting>
  <conditionalFormatting sqref="M515 P516:AG518">
    <cfRule type="expression" dxfId="286" priority="195" stopIfTrue="1">
      <formula>$AK$515=2</formula>
    </cfRule>
  </conditionalFormatting>
  <conditionalFormatting sqref="U520:AG522 M519">
    <cfRule type="expression" dxfId="285" priority="194" stopIfTrue="1">
      <formula>$AK$519=2</formula>
    </cfRule>
  </conditionalFormatting>
  <conditionalFormatting sqref="M533 AA533">
    <cfRule type="expression" dxfId="284" priority="192" stopIfTrue="1">
      <formula>$AK$533=2</formula>
    </cfRule>
  </conditionalFormatting>
  <conditionalFormatting sqref="M534 AA534">
    <cfRule type="expression" dxfId="283" priority="191" stopIfTrue="1">
      <formula>$AK$534=2</formula>
    </cfRule>
  </conditionalFormatting>
  <conditionalFormatting sqref="AD638">
    <cfRule type="expression" dxfId="282" priority="190" stopIfTrue="1">
      <formula>$AK$638=1</formula>
    </cfRule>
  </conditionalFormatting>
  <conditionalFormatting sqref="E146 J146:AG146">
    <cfRule type="expression" dxfId="281" priority="188" stopIfTrue="1">
      <formula>$E$144&lt;&gt;"Other statement"</formula>
    </cfRule>
  </conditionalFormatting>
  <conditionalFormatting sqref="Z144:AG144">
    <cfRule type="expression" dxfId="280" priority="647" stopIfTrue="1">
      <formula>$AC$153="No"</formula>
    </cfRule>
    <cfRule type="expression" dxfId="279" priority="648" stopIfTrue="1">
      <formula>$AK$144=1</formula>
    </cfRule>
  </conditionalFormatting>
  <conditionalFormatting sqref="AC148:AD148">
    <cfRule type="expression" dxfId="278" priority="187" stopIfTrue="1">
      <formula>$AK$148=1</formula>
    </cfRule>
  </conditionalFormatting>
  <conditionalFormatting sqref="F374:AG374">
    <cfRule type="expression" dxfId="277" priority="186" stopIfTrue="1">
      <formula>$AK$374=1</formula>
    </cfRule>
  </conditionalFormatting>
  <conditionalFormatting sqref="Z645 AD645">
    <cfRule type="expression" dxfId="276" priority="185" stopIfTrue="1">
      <formula>$AK$645=1</formula>
    </cfRule>
  </conditionalFormatting>
  <conditionalFormatting sqref="Z645:AA645">
    <cfRule type="expression" dxfId="275" priority="184" stopIfTrue="1">
      <formula>$AD$645="X"</formula>
    </cfRule>
  </conditionalFormatting>
  <conditionalFormatting sqref="AD645:AE645">
    <cfRule type="expression" dxfId="274" priority="183" stopIfTrue="1">
      <formula>$Z$645="X"</formula>
    </cfRule>
  </conditionalFormatting>
  <conditionalFormatting sqref="V643:X643">
    <cfRule type="expression" dxfId="273" priority="182" stopIfTrue="1">
      <formula>$B136&lt;3</formula>
    </cfRule>
  </conditionalFormatting>
  <conditionalFormatting sqref="M650:U650">
    <cfRule type="expression" dxfId="272" priority="181" stopIfTrue="1">
      <formula>$A$650=1</formula>
    </cfRule>
  </conditionalFormatting>
  <conditionalFormatting sqref="S648">
    <cfRule type="expression" dxfId="271" priority="180" stopIfTrue="1">
      <formula>$B$648=1</formula>
    </cfRule>
  </conditionalFormatting>
  <conditionalFormatting sqref="X643">
    <cfRule type="expression" dxfId="270" priority="179" stopIfTrue="1">
      <formula>$AK$643=1</formula>
    </cfRule>
  </conditionalFormatting>
  <conditionalFormatting sqref="M648:R648">
    <cfRule type="expression" dxfId="269" priority="178" stopIfTrue="1">
      <formula>$B$648=1</formula>
    </cfRule>
  </conditionalFormatting>
  <conditionalFormatting sqref="C704:F705">
    <cfRule type="expression" dxfId="268" priority="721" stopIfTrue="1">
      <formula>#REF!="Yes"</formula>
    </cfRule>
  </conditionalFormatting>
  <conditionalFormatting sqref="E586:AF589">
    <cfRule type="expression" dxfId="267" priority="722" stopIfTrue="1">
      <formula>$AD$584&lt;&gt;"No"</formula>
    </cfRule>
  </conditionalFormatting>
  <conditionalFormatting sqref="D568">
    <cfRule type="expression" dxfId="266" priority="723" stopIfTrue="1">
      <formula>#REF!&lt;&gt;"Yes"</formula>
    </cfRule>
  </conditionalFormatting>
  <conditionalFormatting sqref="N577:S580">
    <cfRule type="expression" dxfId="265" priority="724" stopIfTrue="1">
      <formula>$AK$575=1</formula>
    </cfRule>
  </conditionalFormatting>
  <conditionalFormatting sqref="AD616:AE616">
    <cfRule type="expression" dxfId="264" priority="725" stopIfTrue="1">
      <formula>$AK$616=1</formula>
    </cfRule>
  </conditionalFormatting>
  <conditionalFormatting sqref="J601:AF601">
    <cfRule type="expression" dxfId="263" priority="726" stopIfTrue="1">
      <formula>$A$601=1</formula>
    </cfRule>
  </conditionalFormatting>
  <conditionalFormatting sqref="C593:AF600 C591:AF591 C603:AF603">
    <cfRule type="expression" dxfId="262" priority="727" stopIfTrue="1">
      <formula>$AD$584="No"</formula>
    </cfRule>
  </conditionalFormatting>
  <conditionalFormatting sqref="E628:AC628">
    <cfRule type="expression" dxfId="261" priority="728" stopIfTrue="1">
      <formula>$E$628&gt;"A"</formula>
    </cfRule>
  </conditionalFormatting>
  <conditionalFormatting sqref="AD622 AD624">
    <cfRule type="expression" dxfId="260" priority="729" stopIfTrue="1">
      <formula>$AK$622=1</formula>
    </cfRule>
  </conditionalFormatting>
  <conditionalFormatting sqref="AD584:AE584">
    <cfRule type="expression" dxfId="259" priority="730" stopIfTrue="1">
      <formula>$AK$584=1</formula>
    </cfRule>
  </conditionalFormatting>
  <conditionalFormatting sqref="AD593:AE593">
    <cfRule type="expression" dxfId="258" priority="731" stopIfTrue="1">
      <formula>$AK$593=1</formula>
    </cfRule>
  </conditionalFormatting>
  <conditionalFormatting sqref="AD618:AE618">
    <cfRule type="expression" dxfId="257" priority="732" stopIfTrue="1">
      <formula>$AK$618=1</formula>
    </cfRule>
    <cfRule type="expression" dxfId="256" priority="733" stopIfTrue="1">
      <formula>#REF!&lt;&gt;"Yes"</formula>
    </cfRule>
  </conditionalFormatting>
  <conditionalFormatting sqref="C632:F632">
    <cfRule type="expression" dxfId="255" priority="734" stopIfTrue="1">
      <formula>#REF!&lt;&gt;"Yes"</formula>
    </cfRule>
  </conditionalFormatting>
  <conditionalFormatting sqref="E568:M573 N569:AF573">
    <cfRule type="expression" dxfId="254" priority="735" stopIfTrue="1">
      <formula>$AD$567&lt;&gt;"Yes"</formula>
    </cfRule>
  </conditionalFormatting>
  <conditionalFormatting sqref="AD626:AE626">
    <cfRule type="expression" dxfId="253" priority="736" stopIfTrue="1">
      <formula>$AK$626=1</formula>
    </cfRule>
  </conditionalFormatting>
  <conditionalFormatting sqref="AD567:AE567">
    <cfRule type="expression" dxfId="252" priority="737" stopIfTrue="1">
      <formula>$AK$567=1</formula>
    </cfRule>
  </conditionalFormatting>
  <conditionalFormatting sqref="AD614:AE614">
    <cfRule type="expression" dxfId="251" priority="738" stopIfTrue="1">
      <formula>$AK$614=1</formula>
    </cfRule>
  </conditionalFormatting>
  <conditionalFormatting sqref="E596:F600">
    <cfRule type="expression" dxfId="250" priority="739" stopIfTrue="1">
      <formula>$AK$596=1</formula>
    </cfRule>
  </conditionalFormatting>
  <conditionalFormatting sqref="M581">
    <cfRule type="expression" dxfId="249" priority="740" stopIfTrue="1">
      <formula>$N$580&lt;&gt;"Yes"</formula>
    </cfRule>
  </conditionalFormatting>
  <conditionalFormatting sqref="N581:AF581">
    <cfRule type="expression" dxfId="248" priority="535" stopIfTrue="1">
      <formula>$N$580&lt;&gt;"Yes"</formula>
    </cfRule>
  </conditionalFormatting>
  <conditionalFormatting sqref="AF607">
    <cfRule type="expression" dxfId="247" priority="176" stopIfTrue="1">
      <formula>#REF! ="No"</formula>
    </cfRule>
  </conditionalFormatting>
  <conditionalFormatting sqref="AD607:AE607">
    <cfRule type="expression" dxfId="246" priority="174" stopIfTrue="1">
      <formula>$AK$605=1</formula>
    </cfRule>
    <cfRule type="expression" dxfId="245" priority="175" stopIfTrue="1">
      <formula>$AD$605="No"</formula>
    </cfRule>
  </conditionalFormatting>
  <conditionalFormatting sqref="S608:AF608">
    <cfRule type="expression" dxfId="244" priority="173" stopIfTrue="1">
      <formula>$A$605=1</formula>
    </cfRule>
  </conditionalFormatting>
  <conditionalFormatting sqref="E609:AF611">
    <cfRule type="expression" dxfId="243" priority="172" stopIfTrue="1">
      <formula>$A$605=1</formula>
    </cfRule>
  </conditionalFormatting>
  <conditionalFormatting sqref="E608:R608">
    <cfRule type="expression" dxfId="242" priority="170" stopIfTrue="1">
      <formula>$A$605=1</formula>
    </cfRule>
    <cfRule type="expression" dxfId="241" priority="171" stopIfTrue="1">
      <formula>$A$605=3</formula>
    </cfRule>
  </conditionalFormatting>
  <conditionalFormatting sqref="AD605:AE605">
    <cfRule type="expression" dxfId="240" priority="177" stopIfTrue="1">
      <formula>$A$591&gt;1</formula>
    </cfRule>
  </conditionalFormatting>
  <conditionalFormatting sqref="AD591:AE591">
    <cfRule type="expression" dxfId="239" priority="169" stopIfTrue="1">
      <formula>$AK$593=1</formula>
    </cfRule>
  </conditionalFormatting>
  <conditionalFormatting sqref="Z278:AC278">
    <cfRule type="expression" dxfId="238" priority="168" stopIfTrue="1">
      <formula>$AD$276="No"</formula>
    </cfRule>
  </conditionalFormatting>
  <conditionalFormatting sqref="AD278:AE278">
    <cfRule type="expression" dxfId="237" priority="145" stopIfTrue="1">
      <formula>$AK$278+$AK$274=3</formula>
    </cfRule>
    <cfRule type="expression" dxfId="236" priority="167" stopIfTrue="1">
      <formula>$AD$276="Yes"</formula>
    </cfRule>
  </conditionalFormatting>
  <conditionalFormatting sqref="V546:V547 Z546:Z547 AD546">
    <cfRule type="expression" dxfId="235" priority="166" stopIfTrue="1">
      <formula>$M$546="Yes"</formula>
    </cfRule>
  </conditionalFormatting>
  <conditionalFormatting sqref="AE546:AG546 AA546:AC547">
    <cfRule type="expression" dxfId="234" priority="165" stopIfTrue="1">
      <formula>$M$546="Yes"</formula>
    </cfRule>
  </conditionalFormatting>
  <conditionalFormatting sqref="AD547:AG547">
    <cfRule type="expression" dxfId="233" priority="164" stopIfTrue="1">
      <formula>$M$546="Yes"</formula>
    </cfRule>
  </conditionalFormatting>
  <conditionalFormatting sqref="W547:Y547">
    <cfRule type="expression" dxfId="232" priority="163" stopIfTrue="1">
      <formula>$M$546="Yes"</formula>
    </cfRule>
  </conditionalFormatting>
  <conditionalFormatting sqref="V552:V553 Z552:Z553 AD552">
    <cfRule type="expression" dxfId="231" priority="162" stopIfTrue="1">
      <formula>$M$552="Yes"</formula>
    </cfRule>
  </conditionalFormatting>
  <conditionalFormatting sqref="AE552 AA552:AC553">
    <cfRule type="expression" dxfId="230" priority="161" stopIfTrue="1">
      <formula>$M$552="Yes"</formula>
    </cfRule>
  </conditionalFormatting>
  <conditionalFormatting sqref="AD553:AG553">
    <cfRule type="expression" dxfId="229" priority="160" stopIfTrue="1">
      <formula>$M$552="Yes"</formula>
    </cfRule>
  </conditionalFormatting>
  <conditionalFormatting sqref="W553:Y553">
    <cfRule type="expression" dxfId="228" priority="159" stopIfTrue="1">
      <formula>$M$552="Yes"</formula>
    </cfRule>
  </conditionalFormatting>
  <conditionalFormatting sqref="X561:AG563">
    <cfRule type="expression" dxfId="227" priority="158" stopIfTrue="1">
      <formula>$M$561&lt;&gt;"Yes"</formula>
    </cfRule>
  </conditionalFormatting>
  <conditionalFormatting sqref="AG468:AG471">
    <cfRule type="expression" dxfId="226" priority="157" stopIfTrue="1">
      <formula>$M$468&lt;&gt;"Yes"</formula>
    </cfRule>
  </conditionalFormatting>
  <conditionalFormatting sqref="AA486:AG486">
    <cfRule type="expression" dxfId="225" priority="156" stopIfTrue="1">
      <formula>$M$486="Yes"</formula>
    </cfRule>
  </conditionalFormatting>
  <conditionalFormatting sqref="V523:AG531">
    <cfRule type="expression" dxfId="224" priority="155" stopIfTrue="1">
      <formula>$M$523&lt;&gt;"Yes"</formula>
    </cfRule>
  </conditionalFormatting>
  <conditionalFormatting sqref="Q523:U532 AA532:AF532">
    <cfRule type="expression" dxfId="223" priority="154" stopIfTrue="1">
      <formula>$M$523&lt;&gt;"Yes"</formula>
    </cfRule>
  </conditionalFormatting>
  <conditionalFormatting sqref="P519 P520:T522">
    <cfRule type="expression" dxfId="222" priority="153" stopIfTrue="1">
      <formula>$M$519&lt;&gt;"Yes"</formula>
    </cfRule>
  </conditionalFormatting>
  <conditionalFormatting sqref="V519:AG522">
    <cfRule type="expression" dxfId="221" priority="152" stopIfTrue="1">
      <formula>$M$519&lt;&gt;"Yes"</formula>
    </cfRule>
  </conditionalFormatting>
  <conditionalFormatting sqref="C605 AF605">
    <cfRule type="expression" dxfId="220" priority="151" stopIfTrue="1">
      <formula>$A$591&gt;1</formula>
    </cfRule>
  </conditionalFormatting>
  <conditionalFormatting sqref="V788:AE788">
    <cfRule type="expression" dxfId="219" priority="150" stopIfTrue="1">
      <formula>$AK$788=1</formula>
    </cfRule>
  </conditionalFormatting>
  <conditionalFormatting sqref="V789:AE794">
    <cfRule type="expression" dxfId="218" priority="149" stopIfTrue="1">
      <formula>$AK$789=1</formula>
    </cfRule>
  </conditionalFormatting>
  <conditionalFormatting sqref="V796:AE796">
    <cfRule type="expression" dxfId="217" priority="148" stopIfTrue="1">
      <formula>$AK$796=1</formula>
    </cfRule>
  </conditionalFormatting>
  <conditionalFormatting sqref="V797:AE797">
    <cfRule type="expression" dxfId="216" priority="147" stopIfTrue="1">
      <formula>$AK$797=1</formula>
    </cfRule>
  </conditionalFormatting>
  <conditionalFormatting sqref="V799:AE801">
    <cfRule type="expression" dxfId="215" priority="146" stopIfTrue="1">
      <formula>$AK$799=1</formula>
    </cfRule>
  </conditionalFormatting>
  <conditionalFormatting sqref="AC737:AD737">
    <cfRule type="expression" dxfId="214" priority="144" stopIfTrue="1">
      <formula>$AK$739=1</formula>
    </cfRule>
  </conditionalFormatting>
  <conditionalFormatting sqref="E744:E746 F743:F746 H743:AD746 G744:G746">
    <cfRule type="expression" dxfId="213" priority="143" stopIfTrue="1">
      <formula>$AC$741&lt;&gt;"Yes"</formula>
    </cfRule>
  </conditionalFormatting>
  <conditionalFormatting sqref="R745">
    <cfRule type="expression" dxfId="212" priority="142" stopIfTrue="1">
      <formula>$A$739*$AK$739=3</formula>
    </cfRule>
  </conditionalFormatting>
  <conditionalFormatting sqref="T740:T741 C739:S741 U739:Z741 AE739:AE741 AA740:AD741">
    <cfRule type="expression" dxfId="211" priority="141" stopIfTrue="1">
      <formula>$AC$737&lt;&gt;"Yes"</formula>
    </cfRule>
  </conditionalFormatting>
  <conditionalFormatting sqref="M486:O487 AA486:AG487">
    <cfRule type="expression" dxfId="210" priority="140" stopIfTrue="1">
      <formula>$AK$487=2</formula>
    </cfRule>
  </conditionalFormatting>
  <conditionalFormatting sqref="F120:J120">
    <cfRule type="expression" dxfId="209" priority="137" stopIfTrue="1">
      <formula>$F$120=$A$115</formula>
    </cfRule>
    <cfRule type="expression" dxfId="208" priority="138" stopIfTrue="1">
      <formula>$F$120=$A$114</formula>
    </cfRule>
    <cfRule type="expression" dxfId="207" priority="139" stopIfTrue="1">
      <formula>$F$120=$A$113</formula>
    </cfRule>
  </conditionalFormatting>
  <conditionalFormatting sqref="E288:E292 V288:V291">
    <cfRule type="expression" dxfId="206" priority="136" stopIfTrue="1">
      <formula>$AK$288=1</formula>
    </cfRule>
  </conditionalFormatting>
  <conditionalFormatting sqref="E571:AF573">
    <cfRule type="expression" dxfId="205" priority="135" stopIfTrue="1">
      <formula>$AK$567*$AJ$567=6</formula>
    </cfRule>
  </conditionalFormatting>
  <conditionalFormatting sqref="Y643:Z643">
    <cfRule type="expression" dxfId="204" priority="134" stopIfTrue="1">
      <formula>$B136&lt;3</formula>
    </cfRule>
  </conditionalFormatting>
  <conditionalFormatting sqref="V653:AA654 V659:AA660 V650:AA651 V662:AA662">
    <cfRule type="expression" dxfId="203" priority="133" stopIfTrue="1">
      <formula>$AK$650=1</formula>
    </cfRule>
  </conditionalFormatting>
  <conditionalFormatting sqref="M652:Q652">
    <cfRule type="expression" dxfId="202" priority="132" stopIfTrue="1">
      <formula>$A$652=1</formula>
    </cfRule>
  </conditionalFormatting>
  <conditionalFormatting sqref="R652">
    <cfRule type="expression" dxfId="201" priority="128" stopIfTrue="1">
      <formula>$A$652=1</formula>
    </cfRule>
  </conditionalFormatting>
  <conditionalFormatting sqref="S650:U650">
    <cfRule type="expression" dxfId="200" priority="127" stopIfTrue="1">
      <formula>$A$650*$B$648=0</formula>
    </cfRule>
  </conditionalFormatting>
  <conditionalFormatting sqref="M650:R650">
    <cfRule type="expression" dxfId="199" priority="131" stopIfTrue="1">
      <formula>$B$648*$A$650=0</formula>
    </cfRule>
  </conditionalFormatting>
  <conditionalFormatting sqref="S651:U651">
    <cfRule type="expression" dxfId="198" priority="117" stopIfTrue="1">
      <formula>$A$651*$B$648=0</formula>
    </cfRule>
    <cfRule type="expression" dxfId="197" priority="130" stopIfTrue="1">
      <formula>$A$651=1</formula>
    </cfRule>
  </conditionalFormatting>
  <conditionalFormatting sqref="M649:R649">
    <cfRule type="expression" dxfId="196" priority="129" stopIfTrue="1">
      <formula>$B$648=1</formula>
    </cfRule>
  </conditionalFormatting>
  <conditionalFormatting sqref="M651:R651">
    <cfRule type="expression" dxfId="195" priority="126" stopIfTrue="1">
      <formula>$A$651*$B$648=0</formula>
    </cfRule>
  </conditionalFormatting>
  <conditionalFormatting sqref="AD624:AE624">
    <cfRule type="expression" dxfId="194" priority="124" stopIfTrue="1">
      <formula>$AD$622&lt;&gt;"Yes"</formula>
    </cfRule>
  </conditionalFormatting>
  <conditionalFormatting sqref="E624 AB624">
    <cfRule type="expression" dxfId="193" priority="125" stopIfTrue="1">
      <formula>$AD$622&lt;&gt;"Yes"</formula>
    </cfRule>
  </conditionalFormatting>
  <conditionalFormatting sqref="R653 M653">
    <cfRule type="expression" dxfId="192" priority="123" stopIfTrue="1">
      <formula>$A$653=1</formula>
    </cfRule>
  </conditionalFormatting>
  <conditionalFormatting sqref="S653:U653">
    <cfRule type="expression" dxfId="191" priority="115" stopIfTrue="1">
      <formula>$A$653*$B$648=0</formula>
    </cfRule>
    <cfRule type="expression" dxfId="190" priority="122" stopIfTrue="1">
      <formula>$A$653=1</formula>
    </cfRule>
  </conditionalFormatting>
  <conditionalFormatting sqref="M653:R653">
    <cfRule type="expression" dxfId="189" priority="121" stopIfTrue="1">
      <formula>$A$653*$B$648=0</formula>
    </cfRule>
  </conditionalFormatting>
  <conditionalFormatting sqref="R654 M654">
    <cfRule type="expression" dxfId="188" priority="120" stopIfTrue="1">
      <formula>$A$654=1</formula>
    </cfRule>
  </conditionalFormatting>
  <conditionalFormatting sqref="S654:U654">
    <cfRule type="expression" dxfId="187" priority="114" stopIfTrue="1">
      <formula>$A$654*$B$648=0</formula>
    </cfRule>
    <cfRule type="expression" dxfId="186" priority="119" stopIfTrue="1">
      <formula>$A$654=1</formula>
    </cfRule>
  </conditionalFormatting>
  <conditionalFormatting sqref="M654:R654">
    <cfRule type="expression" dxfId="185" priority="118" stopIfTrue="1">
      <formula>$A$654*$B$648=0</formula>
    </cfRule>
  </conditionalFormatting>
  <conditionalFormatting sqref="M655:Q655">
    <cfRule type="expression" dxfId="184" priority="113" stopIfTrue="1">
      <formula>$A$655=1</formula>
    </cfRule>
  </conditionalFormatting>
  <conditionalFormatting sqref="R655">
    <cfRule type="expression" dxfId="183" priority="112" stopIfTrue="1">
      <formula>$A$655=1</formula>
    </cfRule>
  </conditionalFormatting>
  <conditionalFormatting sqref="M655:R655">
    <cfRule type="expression" dxfId="182" priority="111" stopIfTrue="1">
      <formula>$A$655*$B$648=0</formula>
    </cfRule>
  </conditionalFormatting>
  <conditionalFormatting sqref="R656">
    <cfRule type="expression" dxfId="181" priority="110" stopIfTrue="1">
      <formula>$A$656=1</formula>
    </cfRule>
  </conditionalFormatting>
  <conditionalFormatting sqref="R657">
    <cfRule type="expression" dxfId="180" priority="109" stopIfTrue="1">
      <formula>$A$657=1</formula>
    </cfRule>
  </conditionalFormatting>
  <conditionalFormatting sqref="R658">
    <cfRule type="expression" dxfId="179" priority="107" stopIfTrue="1">
      <formula>$A$658=1</formula>
    </cfRule>
  </conditionalFormatting>
  <conditionalFormatting sqref="R660">
    <cfRule type="expression" dxfId="178" priority="106" stopIfTrue="1">
      <formula>$A$660=1</formula>
    </cfRule>
  </conditionalFormatting>
  <conditionalFormatting sqref="R661">
    <cfRule type="expression" dxfId="177" priority="105" stopIfTrue="1">
      <formula>$A$661=1</formula>
    </cfRule>
  </conditionalFormatting>
  <conditionalFormatting sqref="R662">
    <cfRule type="expression" dxfId="176" priority="104" stopIfTrue="1">
      <formula>$A$662=1</formula>
    </cfRule>
  </conditionalFormatting>
  <conditionalFormatting sqref="M656:Q656">
    <cfRule type="expression" dxfId="175" priority="103" stopIfTrue="1">
      <formula>$A$656=1</formula>
    </cfRule>
  </conditionalFormatting>
  <conditionalFormatting sqref="M656:R656">
    <cfRule type="expression" dxfId="174" priority="102" stopIfTrue="1">
      <formula>$A$656*$B$648=0</formula>
    </cfRule>
  </conditionalFormatting>
  <conditionalFormatting sqref="M657:Q657">
    <cfRule type="expression" dxfId="173" priority="108" stopIfTrue="1">
      <formula>$A$657=1</formula>
    </cfRule>
  </conditionalFormatting>
  <conditionalFormatting sqref="M658:Q658">
    <cfRule type="expression" dxfId="172" priority="100" stopIfTrue="1">
      <formula>$A$658=1</formula>
    </cfRule>
  </conditionalFormatting>
  <conditionalFormatting sqref="M658:R658">
    <cfRule type="expression" dxfId="171" priority="99" stopIfTrue="1">
      <formula>$A$658*$B$648=0</formula>
    </cfRule>
  </conditionalFormatting>
  <conditionalFormatting sqref="M659:Q659">
    <cfRule type="expression" dxfId="170" priority="98" stopIfTrue="1">
      <formula>$A$659=1</formula>
    </cfRule>
  </conditionalFormatting>
  <conditionalFormatting sqref="M659:R659">
    <cfRule type="expression" dxfId="169" priority="97" stopIfTrue="1">
      <formula>$A$659*$B$648=0</formula>
    </cfRule>
  </conditionalFormatting>
  <conditionalFormatting sqref="M660:Q660">
    <cfRule type="expression" dxfId="168" priority="96" stopIfTrue="1">
      <formula>$A$660=1</formula>
    </cfRule>
  </conditionalFormatting>
  <conditionalFormatting sqref="M660:R660">
    <cfRule type="expression" dxfId="167" priority="95" stopIfTrue="1">
      <formula>$A$660*$B$648=0</formula>
    </cfRule>
  </conditionalFormatting>
  <conditionalFormatting sqref="M661:Q661">
    <cfRule type="expression" dxfId="166" priority="94" stopIfTrue="1">
      <formula>$A$661=1</formula>
    </cfRule>
  </conditionalFormatting>
  <conditionalFormatting sqref="M661:R661">
    <cfRule type="expression" dxfId="165" priority="93" stopIfTrue="1">
      <formula>$A$661*$B$648=0</formula>
    </cfRule>
  </conditionalFormatting>
  <conditionalFormatting sqref="M662:Q662">
    <cfRule type="expression" dxfId="164" priority="92" stopIfTrue="1">
      <formula>$A$662=1</formula>
    </cfRule>
  </conditionalFormatting>
  <conditionalFormatting sqref="M662:R662">
    <cfRule type="expression" dxfId="163" priority="91" stopIfTrue="1">
      <formula>$A$662*$B$648=0</formula>
    </cfRule>
  </conditionalFormatting>
  <conditionalFormatting sqref="M663:Q663">
    <cfRule type="expression" dxfId="162" priority="90" stopIfTrue="1">
      <formula>$A$663=1</formula>
    </cfRule>
  </conditionalFormatting>
  <conditionalFormatting sqref="M663:R663">
    <cfRule type="expression" dxfId="161" priority="89" stopIfTrue="1">
      <formula>$A$663*$B$648=0</formula>
    </cfRule>
  </conditionalFormatting>
  <conditionalFormatting sqref="S655:U655">
    <cfRule type="expression" dxfId="160" priority="88" stopIfTrue="1">
      <formula>$A$655*$B$648=0</formula>
    </cfRule>
  </conditionalFormatting>
  <conditionalFormatting sqref="S655:U655">
    <cfRule type="expression" dxfId="159" priority="87" stopIfTrue="1">
      <formula>$A$655=1</formula>
    </cfRule>
  </conditionalFormatting>
  <conditionalFormatting sqref="S657:U657">
    <cfRule type="expression" dxfId="158" priority="86" stopIfTrue="1">
      <formula>$A$657=1</formula>
    </cfRule>
    <cfRule type="expression" dxfId="157" priority="443" stopIfTrue="1">
      <formula>$A$657*$B$648=0</formula>
    </cfRule>
  </conditionalFormatting>
  <conditionalFormatting sqref="S663:U663">
    <cfRule type="expression" dxfId="156" priority="83" stopIfTrue="1">
      <formula>$A$663*$B$648=0</formula>
    </cfRule>
  </conditionalFormatting>
  <conditionalFormatting sqref="S658:U658">
    <cfRule type="expression" dxfId="155" priority="81" stopIfTrue="1">
      <formula>$A$658*$B$648=0</formula>
    </cfRule>
    <cfRule type="expression" dxfId="154" priority="82" stopIfTrue="1">
      <formula>$A$658=1</formula>
    </cfRule>
  </conditionalFormatting>
  <conditionalFormatting sqref="S659:U659">
    <cfRule type="expression" dxfId="153" priority="80" stopIfTrue="1">
      <formula>$A$659*$B$648=0</formula>
    </cfRule>
  </conditionalFormatting>
  <conditionalFormatting sqref="S660:U660">
    <cfRule type="expression" dxfId="152" priority="79" stopIfTrue="1">
      <formula>$A$660=1</formula>
    </cfRule>
  </conditionalFormatting>
  <conditionalFormatting sqref="S660:U660">
    <cfRule type="expression" dxfId="151" priority="78" stopIfTrue="1">
      <formula>$A$660*$B$648=0</formula>
    </cfRule>
  </conditionalFormatting>
  <conditionalFormatting sqref="S662:U662">
    <cfRule type="expression" dxfId="150" priority="77" stopIfTrue="1">
      <formula>$A$662=1</formula>
    </cfRule>
  </conditionalFormatting>
  <conditionalFormatting sqref="S662:U662">
    <cfRule type="expression" dxfId="149" priority="76" stopIfTrue="1">
      <formula>$A$662*$B$648=0</formula>
    </cfRule>
  </conditionalFormatting>
  <conditionalFormatting sqref="O671:Q676 AD671:AF676">
    <cfRule type="expression" dxfId="148" priority="74" stopIfTrue="1">
      <formula>$B$648=1</formula>
    </cfRule>
  </conditionalFormatting>
  <conditionalFormatting sqref="X468:AF471">
    <cfRule type="expression" dxfId="147" priority="73" stopIfTrue="1">
      <formula>$M$468&lt;&gt;"Yes"</formula>
    </cfRule>
  </conditionalFormatting>
  <conditionalFormatting sqref="P472:W474">
    <cfRule type="expression" dxfId="146" priority="72" stopIfTrue="1">
      <formula>$M$472&lt;&gt;"Yes"</formula>
    </cfRule>
  </conditionalFormatting>
  <conditionalFormatting sqref="P475:W478">
    <cfRule type="expression" dxfId="145" priority="71" stopIfTrue="1">
      <formula>$M$475&lt;&gt;"Yes"</formula>
    </cfRule>
  </conditionalFormatting>
  <conditionalFormatting sqref="AD603:AE603">
    <cfRule type="expression" dxfId="144" priority="741" stopIfTrue="1">
      <formula>#REF!=1</formula>
    </cfRule>
  </conditionalFormatting>
  <conditionalFormatting sqref="U520:U522">
    <cfRule type="expression" dxfId="143" priority="70" stopIfTrue="1">
      <formula>$M$519&lt;&gt;"Yes"</formula>
    </cfRule>
  </conditionalFormatting>
  <conditionalFormatting sqref="P523:P532">
    <cfRule type="expression" dxfId="142" priority="69" stopIfTrue="1">
      <formula>$M$523&lt;&gt;"Yes"</formula>
    </cfRule>
  </conditionalFormatting>
  <conditionalFormatting sqref="AG472:AG474">
    <cfRule type="expression" dxfId="141" priority="68" stopIfTrue="1">
      <formula>$M$472&lt;&gt;"Yes"</formula>
    </cfRule>
  </conditionalFormatting>
  <conditionalFormatting sqref="AG475:AG478">
    <cfRule type="expression" dxfId="140" priority="67" stopIfTrue="1">
      <formula>$M$475&lt;&gt;"Yes"</formula>
    </cfRule>
  </conditionalFormatting>
  <conditionalFormatting sqref="V795:Z795">
    <cfRule type="expression" dxfId="139" priority="66" stopIfTrue="1">
      <formula>$V$794&lt;&gt;"Yes"</formula>
    </cfRule>
  </conditionalFormatting>
  <conditionalFormatting sqref="AA795:AE795">
    <cfRule type="expression" dxfId="138" priority="65" stopIfTrue="1">
      <formula>$AA$794&lt;&gt;"Yes"</formula>
    </cfRule>
  </conditionalFormatting>
  <conditionalFormatting sqref="C185:K185">
    <cfRule type="expression" dxfId="137" priority="742" stopIfTrue="1">
      <formula>$B$185*($AK$184-1)+COUNTA(C185)&gt;0</formula>
    </cfRule>
    <cfRule type="expression" dxfId="136" priority="743" stopIfTrue="1">
      <formula>COUNTBLANK($C$185)*$B$185*(2-$AK$184)&gt;0</formula>
    </cfRule>
  </conditionalFormatting>
  <conditionalFormatting sqref="C186:K186">
    <cfRule type="expression" dxfId="135" priority="744" stopIfTrue="1">
      <formula>COUNTBLANK($C$186)*$B$186*(2-$AK$184)&gt;0</formula>
    </cfRule>
    <cfRule type="expression" dxfId="134" priority="745" stopIfTrue="1">
      <formula>$B$186*($AK$184-1)+COUNTA(C186)&gt;0</formula>
    </cfRule>
  </conditionalFormatting>
  <conditionalFormatting sqref="C187:K187">
    <cfRule type="expression" dxfId="133" priority="653" stopIfTrue="1">
      <formula>COUNTBLANK($C$187)*$B$187*(2-$AK$184)&gt;0</formula>
    </cfRule>
    <cfRule type="expression" dxfId="132" priority="746" stopIfTrue="1">
      <formula>$B$187*($AK$184-1)+COUNTA(C187)&gt;0</formula>
    </cfRule>
  </conditionalFormatting>
  <conditionalFormatting sqref="C188:K188">
    <cfRule type="expression" dxfId="131" priority="747" stopIfTrue="1">
      <formula>COUNTBLANK($C$188)*$B$188*(2-$AK$184)&gt;0</formula>
    </cfRule>
    <cfRule type="expression" dxfId="130" priority="748" stopIfTrue="1">
      <formula>$B$188*($AK$184-1)+COUNTA(C188)&gt;0</formula>
    </cfRule>
  </conditionalFormatting>
  <conditionalFormatting sqref="C189:K189">
    <cfRule type="expression" dxfId="129" priority="749" stopIfTrue="1">
      <formula>COUNTBLANK($C$189)*$B$189*(2-$AK$184)&gt;0</formula>
    </cfRule>
    <cfRule type="expression" dxfId="128" priority="750" stopIfTrue="1">
      <formula>$B$189*($AK$184-1)+COUNTA(C189)&gt;0</formula>
    </cfRule>
  </conditionalFormatting>
  <conditionalFormatting sqref="C206:K206">
    <cfRule type="expression" dxfId="127" priority="751" stopIfTrue="1">
      <formula>COUNTBLANK($C$206)*$B$206*(2-$AK$184)&gt;0</formula>
    </cfRule>
    <cfRule type="expression" dxfId="126" priority="752" stopIfTrue="1">
      <formula>$B$206*($AK$184-1)+COUNTA(C206)&gt;0</formula>
    </cfRule>
  </conditionalFormatting>
  <conditionalFormatting sqref="C207:K207">
    <cfRule type="expression" dxfId="125" priority="753" stopIfTrue="1">
      <formula>COUNTBLANK($C$207)*$B$207*(2-$AK$184)&gt;0</formula>
    </cfRule>
    <cfRule type="expression" dxfId="124" priority="754" stopIfTrue="1">
      <formula>$B$207*($AK$184-1)+COUNTA(C207)&gt;0</formula>
    </cfRule>
  </conditionalFormatting>
  <conditionalFormatting sqref="C208:K208">
    <cfRule type="expression" dxfId="123" priority="755" stopIfTrue="1">
      <formula>$B$208*($AK$184-1)+COUNTA(C208)&gt;0</formula>
    </cfRule>
    <cfRule type="expression" dxfId="122" priority="756" stopIfTrue="1">
      <formula>COUNTBLANK($C$208)*$B$208*(2-$AK$184)&gt;0</formula>
    </cfRule>
  </conditionalFormatting>
  <conditionalFormatting sqref="C209:K209">
    <cfRule type="expression" dxfId="121" priority="757" stopIfTrue="1">
      <formula>$B$209*($AK$184-1)+COUNTA(C209)&gt;0</formula>
    </cfRule>
    <cfRule type="expression" dxfId="120" priority="758" stopIfTrue="1">
      <formula>COUNTBLANK($C$209)*$B$209*(2-$AK$184)&gt;0</formula>
    </cfRule>
  </conditionalFormatting>
  <conditionalFormatting sqref="C212:K212">
    <cfRule type="expression" dxfId="119" priority="759" stopIfTrue="1">
      <formula>COUNTBLANK($C$212)*$B$212*(2-$AK$184)&gt;0</formula>
    </cfRule>
    <cfRule type="expression" dxfId="118" priority="760" stopIfTrue="1">
      <formula>$B$212*($AK$184-1)+COUNTA(C212)&gt;0</formula>
    </cfRule>
  </conditionalFormatting>
  <conditionalFormatting sqref="C213:K213">
    <cfRule type="expression" dxfId="117" priority="761" stopIfTrue="1">
      <formula>COUNTBLANK($C$213)*$B$213*(2-$AK$184)&gt;0</formula>
    </cfRule>
    <cfRule type="expression" dxfId="116" priority="762" stopIfTrue="1">
      <formula>$B$213*($AK$184-1)+COUNTA(C213)&gt;0</formula>
    </cfRule>
  </conditionalFormatting>
  <conditionalFormatting sqref="C214:K214">
    <cfRule type="expression" dxfId="115" priority="763" stopIfTrue="1">
      <formula>$B$214*($AK$184-1)+COUNTA(C214)&gt;0</formula>
    </cfRule>
    <cfRule type="expression" dxfId="114" priority="764" stopIfTrue="1">
      <formula>COUNTBLANK($C$214)*$B$214*(2-$AK$184)&gt;0</formula>
    </cfRule>
  </conditionalFormatting>
  <conditionalFormatting sqref="C217:K217">
    <cfRule type="expression" dxfId="113" priority="765" stopIfTrue="1">
      <formula>COUNTBLANK($C$217)*$B$217*(2-$AK$184)&gt;0</formula>
    </cfRule>
    <cfRule type="expression" dxfId="112" priority="766" stopIfTrue="1">
      <formula>$B$217*($AK$184-1)+COUNTA(C217)&gt;0</formula>
    </cfRule>
  </conditionalFormatting>
  <conditionalFormatting sqref="C218:K218">
    <cfRule type="expression" dxfId="111" priority="767" stopIfTrue="1">
      <formula>COUNTBLANK($C$218)*$B$218*(2-$AK$184)&gt;0</formula>
    </cfRule>
    <cfRule type="expression" dxfId="110" priority="768" stopIfTrue="1">
      <formula>$B$218*($AK$184-1)+COUNTA(C18)&gt;0</formula>
    </cfRule>
  </conditionalFormatting>
  <conditionalFormatting sqref="C219:K219">
    <cfRule type="expression" dxfId="109" priority="769" stopIfTrue="1">
      <formula>$B$219*($AK$184-1)+COUNTA(C219)&gt;0</formula>
    </cfRule>
    <cfRule type="expression" dxfId="108" priority="770" stopIfTrue="1">
      <formula>COUNTBLANK($C$219)*$B$219*(2-$AK$184)&gt;0</formula>
    </cfRule>
  </conditionalFormatting>
  <conditionalFormatting sqref="C220:K220">
    <cfRule type="expression" dxfId="107" priority="771" stopIfTrue="1">
      <formula>$B$220*($AK$184-1)+COUNTA(C220)&gt;0</formula>
    </cfRule>
    <cfRule type="expression" dxfId="106" priority="772" stopIfTrue="1">
      <formula>COUNTBLANK($C$220)*$B$220*(2-$AK$184)&gt;0</formula>
    </cfRule>
  </conditionalFormatting>
  <conditionalFormatting sqref="C221:K221">
    <cfRule type="expression" dxfId="105" priority="773" stopIfTrue="1">
      <formula>$B$221*($AK$184-1)+COUNTA(C221)&gt;0</formula>
    </cfRule>
    <cfRule type="expression" dxfId="104" priority="774" stopIfTrue="1">
      <formula>COUNTBLANK($C$221)*$B$221*(2-$AK$184)&gt;0</formula>
    </cfRule>
  </conditionalFormatting>
  <conditionalFormatting sqref="C222:K222">
    <cfRule type="expression" dxfId="103" priority="775" stopIfTrue="1">
      <formula>$B$222*($AK$184-1)+COUNTA(C222)&gt;0</formula>
    </cfRule>
    <cfRule type="expression" dxfId="102" priority="776" stopIfTrue="1">
      <formula>COUNTBLANK($C$222)*$B$222*(2-$AK$184)&gt;0</formula>
    </cfRule>
  </conditionalFormatting>
  <conditionalFormatting sqref="C223:K223">
    <cfRule type="expression" dxfId="101" priority="777" stopIfTrue="1">
      <formula>COUNTBLANK($C$223)*$B$223*(2-$AK$184)&gt;0</formula>
    </cfRule>
    <cfRule type="expression" dxfId="100" priority="778" stopIfTrue="1">
      <formula>$B$223*($AK$184-1)+COUNTA(C223)&gt;0</formula>
    </cfRule>
  </conditionalFormatting>
  <conditionalFormatting sqref="C224:K224">
    <cfRule type="expression" dxfId="99" priority="779" stopIfTrue="1">
      <formula>COUNTBLANK($C$224)*$B$224*(2-$AK$184)&gt;0</formula>
    </cfRule>
    <cfRule type="expression" dxfId="98" priority="780" stopIfTrue="1">
      <formula>$B$224*($AK$184-1)+COUNTA(C224)&gt;0</formula>
    </cfRule>
  </conditionalFormatting>
  <conditionalFormatting sqref="C225:K225">
    <cfRule type="expression" dxfId="97" priority="781" stopIfTrue="1">
      <formula>$B$225*($AK$184-1)+COUNTA(C225)&gt;0</formula>
    </cfRule>
    <cfRule type="expression" dxfId="96" priority="782" stopIfTrue="1">
      <formula>COUNTBLANK($C$225)*$B$225*(2-$AK$184)&gt;0</formula>
    </cfRule>
  </conditionalFormatting>
  <conditionalFormatting sqref="C226:K226">
    <cfRule type="expression" dxfId="95" priority="783" stopIfTrue="1">
      <formula>$B$226*($AK$184-1)+COUNTA(C226)&gt;0</formula>
    </cfRule>
    <cfRule type="expression" dxfId="94" priority="784" stopIfTrue="1">
      <formula>COUNTBLANK($C$226)*$B$226*(2-$AK$184)&gt;0</formula>
    </cfRule>
  </conditionalFormatting>
  <conditionalFormatting sqref="C227:K227">
    <cfRule type="expression" dxfId="93" priority="785" stopIfTrue="1">
      <formula>$B$227*($AK$184-1)+COUNTA(C227)&gt;0</formula>
    </cfRule>
    <cfRule type="expression" dxfId="92" priority="786" stopIfTrue="1">
      <formula>COUNTBLANK($C$227)*$B$227*(2-$AK$184)&gt;0</formula>
    </cfRule>
  </conditionalFormatting>
  <conditionalFormatting sqref="C228:K228">
    <cfRule type="expression" dxfId="91" priority="787" stopIfTrue="1">
      <formula>COUNTBLANK($C$228)*$B$228*(2-$AK$184)&gt;0</formula>
    </cfRule>
    <cfRule type="expression" dxfId="90" priority="788" stopIfTrue="1">
      <formula>$B$228*($AK$184-1)+COUNTA(C228)&gt;0</formula>
    </cfRule>
  </conditionalFormatting>
  <conditionalFormatting sqref="C229:K229">
    <cfRule type="expression" dxfId="89" priority="789" stopIfTrue="1">
      <formula>COUNTBLANK($C$229)*$B$229*(2-$AK$184)&gt;0</formula>
    </cfRule>
    <cfRule type="expression" dxfId="88" priority="790" stopIfTrue="1">
      <formula>$B$229*($AK$184-1)+COUNTA(C229)&gt;0</formula>
    </cfRule>
  </conditionalFormatting>
  <conditionalFormatting sqref="C230:K230">
    <cfRule type="expression" dxfId="87" priority="791" stopIfTrue="1">
      <formula>$B$230*($AK$184-1)+COUNTA(C230)&gt;0</formula>
    </cfRule>
    <cfRule type="expression" dxfId="86" priority="792" stopIfTrue="1">
      <formula>COUNTBLANK($C$230)*$B$230*(2-$AK$184)&gt;0</formula>
    </cfRule>
  </conditionalFormatting>
  <conditionalFormatting sqref="C231:K231">
    <cfRule type="expression" dxfId="85" priority="793" stopIfTrue="1">
      <formula>$B$231*($AK$184-1)+COUNTA(C231)&gt;0</formula>
    </cfRule>
    <cfRule type="expression" dxfId="84" priority="794" stopIfTrue="1">
      <formula>COUNTBLANK($C$231)*$B$231*(2-$AK$184)&gt;0</formula>
    </cfRule>
  </conditionalFormatting>
  <conditionalFormatting sqref="K323:AD327">
    <cfRule type="expression" dxfId="83" priority="795" stopIfTrue="1">
      <formula>$AK$323=1</formula>
    </cfRule>
    <cfRule type="expression" dxfId="82" priority="796" stopIfTrue="1">
      <formula>$A$323=1</formula>
    </cfRule>
  </conditionalFormatting>
  <conditionalFormatting sqref="K328:AD331">
    <cfRule type="expression" dxfId="81" priority="797" stopIfTrue="1">
      <formula>$AK$328=1</formula>
    </cfRule>
    <cfRule type="expression" dxfId="80" priority="798" stopIfTrue="1">
      <formula>$A$328=1</formula>
    </cfRule>
  </conditionalFormatting>
  <conditionalFormatting sqref="U318:AG318">
    <cfRule type="expression" dxfId="79" priority="799" stopIfTrue="1">
      <formula>$A$313&lt;&gt;1</formula>
    </cfRule>
  </conditionalFormatting>
  <conditionalFormatting sqref="AB314:AE316">
    <cfRule type="expression" dxfId="78" priority="800" stopIfTrue="1">
      <formula>$AK$314=2</formula>
    </cfRule>
    <cfRule type="expression" dxfId="77" priority="801" stopIfTrue="1">
      <formula>$A$313&lt;&gt;1</formula>
    </cfRule>
  </conditionalFormatting>
  <conditionalFormatting sqref="K332:AD335">
    <cfRule type="expression" dxfId="76" priority="802" stopIfTrue="1">
      <formula>$AK$332=1</formula>
    </cfRule>
    <cfRule type="expression" dxfId="75" priority="803" stopIfTrue="1">
      <formula>$A$332=1</formula>
    </cfRule>
  </conditionalFormatting>
  <conditionalFormatting sqref="M657:R657">
    <cfRule type="expression" dxfId="74" priority="101" stopIfTrue="1">
      <formula>$A$657*$B$648=0</formula>
    </cfRule>
  </conditionalFormatting>
  <conditionalFormatting sqref="M652:R652">
    <cfRule type="expression" dxfId="73" priority="116" stopIfTrue="1">
      <formula>$A$652*$B$648=0</formula>
    </cfRule>
  </conditionalFormatting>
  <conditionalFormatting sqref="V638:Y638">
    <cfRule type="expression" dxfId="72" priority="63" stopIfTrue="1">
      <formula>$U$638&lt;"A"</formula>
    </cfRule>
    <cfRule type="expression" dxfId="71" priority="64" stopIfTrue="1">
      <formula>$AK$638=1</formula>
    </cfRule>
  </conditionalFormatting>
  <conditionalFormatting sqref="AD638:AE638">
    <cfRule type="expression" dxfId="70" priority="189" stopIfTrue="1">
      <formula>$U$638&lt;"A"</formula>
    </cfRule>
  </conditionalFormatting>
  <conditionalFormatting sqref="AF638">
    <cfRule type="expression" dxfId="69" priority="62" stopIfTrue="1">
      <formula>U638&gt;"A"</formula>
    </cfRule>
  </conditionalFormatting>
  <conditionalFormatting sqref="U524:AG524 U527:AG528">
    <cfRule type="expression" dxfId="68" priority="61" stopIfTrue="1">
      <formula>$U$523="X"</formula>
    </cfRule>
  </conditionalFormatting>
  <conditionalFormatting sqref="U523:AG523 U526:AG526">
    <cfRule type="expression" dxfId="67" priority="60" stopIfTrue="1">
      <formula>$U$524="X"</formula>
    </cfRule>
  </conditionalFormatting>
  <conditionalFormatting sqref="R743">
    <cfRule type="expression" dxfId="66" priority="59" stopIfTrue="1">
      <formula>$AK$752=1</formula>
    </cfRule>
  </conditionalFormatting>
  <conditionalFormatting sqref="AC739">
    <cfRule type="expression" dxfId="65" priority="57" stopIfTrue="1">
      <formula>$AC$737&lt;&gt;"Yes"</formula>
    </cfRule>
  </conditionalFormatting>
  <conditionalFormatting sqref="Y739">
    <cfRule type="expression" dxfId="64" priority="56" stopIfTrue="1">
      <formula>$AK$693=1</formula>
    </cfRule>
  </conditionalFormatting>
  <conditionalFormatting sqref="M561:O563">
    <cfRule type="expression" dxfId="63" priority="53" stopIfTrue="1">
      <formula>$AK$561=1</formula>
    </cfRule>
  </conditionalFormatting>
  <conditionalFormatting sqref="C751:AG814">
    <cfRule type="expression" dxfId="62" priority="52" stopIfTrue="1">
      <formula>$A$749=1</formula>
    </cfRule>
  </conditionalFormatting>
  <conditionalFormatting sqref="C268:AF268">
    <cfRule type="expression" dxfId="61" priority="51" stopIfTrue="1">
      <formula>$AB$266="No"</formula>
    </cfRule>
  </conditionalFormatting>
  <conditionalFormatting sqref="Q694:W694">
    <cfRule type="expression" dxfId="60" priority="50" stopIfTrue="1">
      <formula>$P$693&lt;&gt;"X"</formula>
    </cfRule>
  </conditionalFormatting>
  <conditionalFormatting sqref="AD419:AE419">
    <cfRule type="expression" dxfId="59" priority="48" stopIfTrue="1">
      <formula>$A$417=1</formula>
    </cfRule>
  </conditionalFormatting>
  <conditionalFormatting sqref="AD419:AE419">
    <cfRule type="expression" dxfId="58" priority="47" stopIfTrue="1">
      <formula>$AK$419=1</formula>
    </cfRule>
  </conditionalFormatting>
  <conditionalFormatting sqref="AD426:AE426">
    <cfRule type="expression" dxfId="57" priority="46" stopIfTrue="1">
      <formula>$AD$424&lt;&gt;"Yes"</formula>
    </cfRule>
  </conditionalFormatting>
  <conditionalFormatting sqref="AD424:AE424">
    <cfRule type="expression" dxfId="56" priority="45" stopIfTrue="1">
      <formula>$A$424=1</formula>
    </cfRule>
  </conditionalFormatting>
  <conditionalFormatting sqref="AD426:AE426 AD424:AE424">
    <cfRule type="expression" dxfId="55" priority="44" stopIfTrue="1">
      <formula>$AK$424=1</formula>
    </cfRule>
  </conditionalFormatting>
  <conditionalFormatting sqref="F428:AF428">
    <cfRule type="expression" dxfId="54" priority="43" stopIfTrue="1">
      <formula>$AD$424&lt;"N"</formula>
    </cfRule>
  </conditionalFormatting>
  <conditionalFormatting sqref="AA148:AE148">
    <cfRule type="expression" dxfId="53" priority="41" stopIfTrue="1">
      <formula>$A$150=1</formula>
    </cfRule>
  </conditionalFormatting>
  <conditionalFormatting sqref="AC150:AE150">
    <cfRule type="expression" dxfId="52" priority="40" stopIfTrue="1">
      <formula>$A$150=10</formula>
    </cfRule>
  </conditionalFormatting>
  <conditionalFormatting sqref="AB385:AG385">
    <cfRule type="expression" dxfId="51" priority="39" stopIfTrue="1">
      <formula>$AL$385="X"</formula>
    </cfRule>
  </conditionalFormatting>
  <conditionalFormatting sqref="AB386:AG386">
    <cfRule type="expression" dxfId="50" priority="38" stopIfTrue="1">
      <formula>$AL$386="X"</formula>
    </cfRule>
  </conditionalFormatting>
  <conditionalFormatting sqref="AB387:AG387">
    <cfRule type="expression" dxfId="49" priority="37" stopIfTrue="1">
      <formula>$AL$387="X"</formula>
    </cfRule>
  </conditionalFormatting>
  <conditionalFormatting sqref="AB388:AG388">
    <cfRule type="expression" dxfId="48" priority="36" stopIfTrue="1">
      <formula>$AL$388="x"</formula>
    </cfRule>
  </conditionalFormatting>
  <conditionalFormatting sqref="AB389:AG389">
    <cfRule type="expression" dxfId="47" priority="35" stopIfTrue="1">
      <formula>$AL$389="x"</formula>
    </cfRule>
  </conditionalFormatting>
  <conditionalFormatting sqref="AB390:AG390">
    <cfRule type="expression" dxfId="46" priority="34" stopIfTrue="1">
      <formula>$AL$390="x"</formula>
    </cfRule>
  </conditionalFormatting>
  <conditionalFormatting sqref="AB391:AG391">
    <cfRule type="expression" dxfId="45" priority="33" stopIfTrue="1">
      <formula>$AL$391="x"</formula>
    </cfRule>
  </conditionalFormatting>
  <conditionalFormatting sqref="AB392:AG392">
    <cfRule type="expression" dxfId="44" priority="32" stopIfTrue="1">
      <formula>$AL$392="x"</formula>
    </cfRule>
  </conditionalFormatting>
  <conditionalFormatting sqref="AB393:AG393">
    <cfRule type="expression" dxfId="43" priority="31" stopIfTrue="1">
      <formula>$AL$393="X"</formula>
    </cfRule>
  </conditionalFormatting>
  <conditionalFormatting sqref="AB394:AG394">
    <cfRule type="expression" dxfId="42" priority="30" stopIfTrue="1">
      <formula>$AL$394="x"</formula>
    </cfRule>
  </conditionalFormatting>
  <conditionalFormatting sqref="AB395:AG395">
    <cfRule type="expression" dxfId="41" priority="29" stopIfTrue="1">
      <formula>$AL$395="x"</formula>
    </cfRule>
  </conditionalFormatting>
  <conditionalFormatting sqref="AB396:AG396">
    <cfRule type="expression" dxfId="40" priority="28" stopIfTrue="1">
      <formula>$AL$396="x"</formula>
    </cfRule>
  </conditionalFormatting>
  <conditionalFormatting sqref="AB397:AG397">
    <cfRule type="expression" dxfId="39" priority="27" stopIfTrue="1">
      <formula>$AL$397="x"</formula>
    </cfRule>
  </conditionalFormatting>
  <conditionalFormatting sqref="AB398:AG398">
    <cfRule type="expression" dxfId="38" priority="26" stopIfTrue="1">
      <formula>$AL$398="x"</formula>
    </cfRule>
  </conditionalFormatting>
  <conditionalFormatting sqref="AB399:AG399">
    <cfRule type="expression" dxfId="37" priority="25" stopIfTrue="1">
      <formula>$AL$399="x"</formula>
    </cfRule>
  </conditionalFormatting>
  <conditionalFormatting sqref="AB400:AG400">
    <cfRule type="expression" dxfId="36" priority="24" stopIfTrue="1">
      <formula>$AL$400="x"</formula>
    </cfRule>
  </conditionalFormatting>
  <conditionalFormatting sqref="AB401:AG401">
    <cfRule type="expression" dxfId="35" priority="23" stopIfTrue="1">
      <formula>$AL$401="x"</formula>
    </cfRule>
  </conditionalFormatting>
  <conditionalFormatting sqref="AB402:AG402">
    <cfRule type="expression" dxfId="34" priority="22" stopIfTrue="1">
      <formula>$AL$402="x"</formula>
    </cfRule>
  </conditionalFormatting>
  <conditionalFormatting sqref="AB403:AG403">
    <cfRule type="expression" dxfId="33" priority="21" stopIfTrue="1">
      <formula>$AL$403="x"</formula>
    </cfRule>
  </conditionalFormatting>
  <conditionalFormatting sqref="AB404:AG404">
    <cfRule type="expression" dxfId="32" priority="20" stopIfTrue="1">
      <formula>$AL$404="x"</formula>
    </cfRule>
  </conditionalFormatting>
  <conditionalFormatting sqref="AB405:AG405">
    <cfRule type="expression" dxfId="31" priority="19" stopIfTrue="1">
      <formula>$AL$405="x"</formula>
    </cfRule>
  </conditionalFormatting>
  <conditionalFormatting sqref="AB406:AG406">
    <cfRule type="expression" dxfId="30" priority="18" stopIfTrue="1">
      <formula>$AL$406="x"</formula>
    </cfRule>
  </conditionalFormatting>
  <conditionalFormatting sqref="AB407:AG407">
    <cfRule type="expression" dxfId="29" priority="17" stopIfTrue="1">
      <formula>$AL$407="x"</formula>
    </cfRule>
  </conditionalFormatting>
  <conditionalFormatting sqref="AB408:AG408">
    <cfRule type="expression" dxfId="28" priority="16" stopIfTrue="1">
      <formula>$AL$408="x"</formula>
    </cfRule>
  </conditionalFormatting>
  <conditionalFormatting sqref="AB409:AG409">
    <cfRule type="expression" dxfId="27" priority="15" stopIfTrue="1">
      <formula>$AL$409="x"</formula>
    </cfRule>
  </conditionalFormatting>
  <conditionalFormatting sqref="AB410:AG410">
    <cfRule type="expression" dxfId="26" priority="14" stopIfTrue="1">
      <formula>$AL$410="x"</formula>
    </cfRule>
  </conditionalFormatting>
  <conditionalFormatting sqref="AB411:AG411">
    <cfRule type="expression" dxfId="25" priority="13" stopIfTrue="1">
      <formula>$AL$411="x"</formula>
    </cfRule>
  </conditionalFormatting>
  <conditionalFormatting sqref="AB412:AG412">
    <cfRule type="expression" dxfId="24" priority="12" stopIfTrue="1">
      <formula>$AL$412="x"</formula>
    </cfRule>
  </conditionalFormatting>
  <conditionalFormatting sqref="AB413:AG413">
    <cfRule type="expression" dxfId="23" priority="11" stopIfTrue="1">
      <formula>$AL$413="x"</formula>
    </cfRule>
  </conditionalFormatting>
  <conditionalFormatting sqref="W764:W765 AB764:AB765 W766:AF770">
    <cfRule type="expression" dxfId="22" priority="10" stopIfTrue="1">
      <formula>($A$749*$A$749)+$AK$765+$AJ$765=5</formula>
    </cfRule>
  </conditionalFormatting>
  <conditionalFormatting sqref="AB150">
    <cfRule type="expression" dxfId="21" priority="16942" stopIfTrue="1">
      <formula>$A$150=10</formula>
    </cfRule>
  </conditionalFormatting>
  <conditionalFormatting sqref="AC150:AD150">
    <cfRule type="expression" dxfId="20" priority="16943" stopIfTrue="1">
      <formula>$AK$148=1</formula>
    </cfRule>
    <cfRule type="expression" dxfId="19" priority="16944" stopIfTrue="1">
      <formula>$A$150=10</formula>
    </cfRule>
  </conditionalFormatting>
  <conditionalFormatting sqref="E417">
    <cfRule type="expression" dxfId="18" priority="16945" stopIfTrue="1">
      <formula>$AE$377="No"</formula>
    </cfRule>
  </conditionalFormatting>
  <conditionalFormatting sqref="AD417:AE417">
    <cfRule type="expression" dxfId="17" priority="16946" stopIfTrue="1">
      <formula>($B$417*$AJ$417)&gt;2</formula>
    </cfRule>
    <cfRule type="expression" dxfId="16" priority="16947" stopIfTrue="1">
      <formula>$AK$417=1</formula>
    </cfRule>
    <cfRule type="expression" dxfId="15" priority="16948" stopIfTrue="1">
      <formula>$AE$377="No"</formula>
    </cfRule>
  </conditionalFormatting>
  <conditionalFormatting sqref="T739 AD739">
    <cfRule type="expression" dxfId="14" priority="16949" stopIfTrue="1">
      <formula>$AC$737&lt;&gt;"Yes"</formula>
    </cfRule>
  </conditionalFormatting>
  <conditionalFormatting sqref="O739">
    <cfRule type="expression" dxfId="13" priority="16950" stopIfTrue="1">
      <formula>$AK$693=1</formula>
    </cfRule>
    <cfRule type="expression" dxfId="12" priority="16951" stopIfTrue="1">
      <formula>$AC$737&lt;&gt;"Yes"</formula>
    </cfRule>
  </conditionalFormatting>
  <conditionalFormatting sqref="AC739">
    <cfRule type="expression" dxfId="11" priority="16952" stopIfTrue="1">
      <formula>$AK$693=1</formula>
    </cfRule>
    <cfRule type="expression" dxfId="10" priority="16953" stopIfTrue="1">
      <formula>$AC$737&lt;&gt;"Yes"</formula>
    </cfRule>
  </conditionalFormatting>
  <conditionalFormatting sqref="T739 Z739">
    <cfRule type="expression" dxfId="9" priority="16954" stopIfTrue="1">
      <formula>$AK$693=1</formula>
    </cfRule>
    <cfRule type="expression" dxfId="8" priority="16955" stopIfTrue="1">
      <formula>$AC$737&lt;&gt;"Yes"</formula>
    </cfRule>
  </conditionalFormatting>
  <conditionalFormatting sqref="AC741:AD741">
    <cfRule type="expression" dxfId="7" priority="16956" stopIfTrue="1">
      <formula>$AK$739=1</formula>
    </cfRule>
    <cfRule type="expression" dxfId="6" priority="16957" stopIfTrue="1">
      <formula>$AC$737&lt;&gt;"Yes"</formula>
    </cfRule>
  </conditionalFormatting>
  <conditionalFormatting sqref="E743">
    <cfRule type="expression" dxfId="5" priority="16958" stopIfTrue="1">
      <formula>$AC$741&lt;&gt;"Yes"</formula>
    </cfRule>
  </conditionalFormatting>
  <conditionalFormatting sqref="G743">
    <cfRule type="expression" dxfId="4" priority="16959" stopIfTrue="1">
      <formula>$AC$741&lt;&gt;"Yes"</formula>
    </cfRule>
  </conditionalFormatting>
  <conditionalFormatting sqref="M523 AB532:AC532 U523:V531">
    <cfRule type="expression" dxfId="3" priority="5" stopIfTrue="1">
      <formula>$AK$523=2</formula>
    </cfRule>
  </conditionalFormatting>
  <conditionalFormatting sqref="C702:M703">
    <cfRule type="expression" dxfId="2" priority="4" stopIfTrue="1">
      <formula>$A$547=2</formula>
    </cfRule>
  </conditionalFormatting>
  <conditionalFormatting sqref="N702:O703">
    <cfRule type="expression" dxfId="1" priority="2" stopIfTrue="1">
      <formula>$A$547=2</formula>
    </cfRule>
  </conditionalFormatting>
  <conditionalFormatting sqref="P702:AF703">
    <cfRule type="expression" dxfId="0" priority="1" stopIfTrue="1">
      <formula>$A$547=2</formula>
    </cfRule>
  </conditionalFormatting>
  <dataValidations count="22">
    <dataValidation type="custom" allowBlank="1" showInputMessage="1" showErrorMessage="1" errorTitle="COMPONENT ERROR" error="Single component substance!" sqref="R178:S178" xr:uid="{00000000-0002-0000-0000-000000000000}">
      <formula1>(R178&lt;=U178)</formula1>
    </dataValidation>
    <dataValidation type="custom" operator="greaterThan" allowBlank="1" showInputMessage="1" showErrorMessage="1" errorTitle="EXPAND &amp; COMPLETE ROWS " error="Expand rows for additional component information and complete before inputing this row._x000a__x000a_Select &quot;Cancel&quot;, then click on the + button next to the row and enter data in preceding rows before adding data to this row." sqref="C244 G244 AB163 Z161:AB161 Z165:AB165 C141 AH142:AH144 E147 Y147 AB148 AB150 C160:C166 AH146 AF168:AH168" xr:uid="{00000000-0002-0000-0000-000001000000}">
      <formula1>B141=0</formula1>
    </dataValidation>
    <dataValidation type="list" allowBlank="1" showInputMessage="1" showErrorMessage="1" sqref="W85:AD85 Z6:AG9 W17:AD17 W20:AD20 W33:AD33 W41:AD41 W37:AD37 W907 W915 W911 Q144:X144 Z144:AG144" xr:uid="{00000000-0002-0000-0000-000002000000}">
      <formula1>$AM$921:$AM$1119</formula1>
    </dataValidation>
    <dataValidation type="list" allowBlank="1" showInputMessage="1" showErrorMessage="1" sqref="O96:T96 AC846:AF860 M486 AD603 AD624:AE624 AD492:AE492 AD591:AE591 AD605:AE605 AD607:AE607 M488 AE323:AE363 AD280:AE280 AD274:AE274 D313 AC776:AD776 AC774:AD774 AA702:AA708 AC148:AD148 V789:V794 AE370 Q730 AC150:AD150 AC737:AD737 I385 AE377 L408 M433:M441 M443 AD417:AE417 M542 V506 AB532:AC532 I388:I389 M482:M484 M475 AA728 N713:N720 X888:Y888 AE368 M490 M464:M468 M511 M546 I402 M552 AD497:AE498 M507 AC780:AD780 I411 I399 I394 L402 AE310:AE311 Q728 I397 L411 L394 L388:L389 M561 AC832:AF841 AC167:AD167 AC163:AD163 AC822:AF826 D298:D307 M495 M501 M504 M515 M523:M530 M519 M452:M453 I391 L391 M472 M461 AD276:AE276 M557 M449 M446 M455:M458 L385 L399 I405:I406 I408 L397 AB251:AB266 AC865:AF884 V503 AC165:AD165 AC161:AD161 N702:N708 L405:L406 AA789:AA794 AC782:AD782 AC772 AC741:AD741 AD419 E638 M533:M534 AC153:AD153 AD622:AE622 AD618:AE618 AD616:AE616 AD584:AE584 AD626:AE626 N577:S580 AD567:AE567 AD614:AE614 Z571:AF572 AD630:AE630 E596:F600 AD593:AE593 AD278:AE278 AD426:AE426 AD424:AE424" xr:uid="{00000000-0002-0000-0000-000003000000}">
      <formula1>$AK$921:$AK$923</formula1>
    </dataValidation>
    <dataValidation type="list" allowBlank="1" showInputMessage="1" showErrorMessage="1" sqref="F108:F111 O810 AB764:AB765 AC739 Y739 AF125 V546:V547 V288:V291 E288:E292 AB690 O808 O739 V810 V808 E586:E588 D171:D173 P693 U586:U588 AA693 AD552 AB808 C690 L690 U690 Z546:Z547 P667 AD546 AA667 T667 U520:U531 AB468:AB478 AG468:AG478 Z552:Z553 Z645 AD645 V552:V553 M764:M765 R764:R765 W764:W765 T739" xr:uid="{00000000-0002-0000-0000-000004000000}">
      <formula1>$AJ$921:$AJ$922</formula1>
    </dataValidation>
    <dataValidation type="list" allowBlank="1" showInputMessage="1" showErrorMessage="1" sqref="W752:AB752" xr:uid="{00000000-0002-0000-0000-000005000000}">
      <formula1>$BA$921:$BA$923</formula1>
    </dataValidation>
    <dataValidation type="list" allowBlank="1" showInputMessage="1" showErrorMessage="1" sqref="R749" xr:uid="{00000000-0002-0000-0000-000006000000}">
      <formula1>$BG$921:$BG$925</formula1>
    </dataValidation>
    <dataValidation type="list" allowBlank="1" showInputMessage="1" showErrorMessage="1" sqref="U754:W756" xr:uid="{00000000-0002-0000-0000-000007000000}">
      <formula1>$AL$923:$AL$927</formula1>
    </dataValidation>
    <dataValidation type="list" allowBlank="1" showInputMessage="1" showErrorMessage="1" sqref="Q734" xr:uid="{00000000-0002-0000-0000-000008000000}">
      <formula1>$BF$921:$BF$925</formula1>
    </dataValidation>
    <dataValidation type="list" allowBlank="1" showInputMessage="1" showErrorMessage="1" sqref="Q727 AA727" xr:uid="{00000000-0002-0000-0000-000009000000}">
      <formula1>$BB$921:$BB$925</formula1>
    </dataValidation>
    <dataValidation type="list" allowBlank="1" showInputMessage="1" showErrorMessage="1" sqref="C671:C676" xr:uid="{00000000-0002-0000-0000-00000A000000}">
      <formula1>$AN$921:$AN$934</formula1>
    </dataValidation>
    <dataValidation type="list" allowBlank="1" showInputMessage="1" showErrorMessage="1" sqref="R671:X676" xr:uid="{00000000-0002-0000-0000-00000B000000}">
      <formula1>$AS$921:$AS$932</formula1>
    </dataValidation>
    <dataValidation type="date" operator="greaterThan" allowBlank="1" showInputMessage="1" showErrorMessage="1" errorTitle="Check date and format" error="Date format is     DD-MMMM-YYYY, and the date must be more recent than 01 Jan 2010" promptTitle="Date format" prompt="Date format is     DD-MMMM-YYYY, and the date must be more recent than 01 Jan 2010" sqref="Q694:W694" xr:uid="{00000000-0002-0000-0000-00000C000000}">
      <formula1>39448</formula1>
    </dataValidation>
    <dataValidation type="list" allowBlank="1" showInputMessage="1" showErrorMessage="1" sqref="E144" xr:uid="{00000000-0002-0000-0000-00000D000000}">
      <formula1>$BD$921:$BD$927</formula1>
    </dataValidation>
    <dataValidation operator="greaterThan" allowBlank="1" showInputMessage="1" showErrorMessage="1" errorTitle="EXPAND &amp; COMPLETE ROWS " error="Expand rows for additional component information and complete before inputing this row._x000a__x000a_Select &quot;Cancel&quot;, then click on the + button next to the row and enter data in preceding rows before adding data to this row." sqref="C147" xr:uid="{00000000-0002-0000-0000-00000E000000}"/>
    <dataValidation type="list" allowBlank="1" showInputMessage="1" showErrorMessage="1" sqref="Y156 Y158 E158 O158 O156 E156" xr:uid="{00000000-0002-0000-0000-00000F000000}">
      <formula1>$AM$922:$AM$1120</formula1>
    </dataValidation>
    <dataValidation type="list" allowBlank="1" showInputMessage="1" showErrorMessage="1" sqref="E136" xr:uid="{00000000-0002-0000-0000-000010000000}">
      <formula1>$BI$921:$BI$925</formula1>
    </dataValidation>
    <dataValidation type="list" allowBlank="1" showInputMessage="1" showErrorMessage="1" sqref="E138" xr:uid="{00000000-0002-0000-0000-000011000000}">
      <formula1>$BC$921:$BC$927</formula1>
    </dataValidation>
    <dataValidation type="date" operator="greaterThan" allowBlank="1" showInputMessage="1" showErrorMessage="1" errorTitle="Check date and format" error="Date format is DD - MMMM - YYYY, and the date must be more recent than 01 Jan 2010" promptTitle="Date format" prompt="Date format is     DD-MMMM-YYYY, and the date must be more recent than 01 Jan 2010" sqref="AA96:AG96" xr:uid="{00000000-0002-0000-0000-000012000000}">
      <formula1>40179</formula1>
    </dataValidation>
    <dataValidation type="date" operator="greaterThan" allowBlank="1" showInputMessage="1" showErrorMessage="1" errorTitle="Check date and format" error="Date format is     DD-MMMM-YYYY, and the date must be more recent than 01 Jan 2010" promptTitle="Date format" prompt="Date format is     DD-MMM-YYYY, and the date must be more recent than 01 Jan 2010" sqref="O80:U80" xr:uid="{00000000-0002-0000-0000-000013000000}">
      <formula1>40179</formula1>
    </dataValidation>
    <dataValidation type="list" allowBlank="1" showInputMessage="1" showErrorMessage="1" sqref="R743" xr:uid="{00000000-0002-0000-0000-000014000000}">
      <formula1>$BJ$921:$BJ$933</formula1>
    </dataValidation>
    <dataValidation allowBlank="1" showInputMessage="1" showErrorMessage="1" prompt="Use format dd-mmm-yyyy" sqref="O27:U27 AA27:AG27" xr:uid="{00000000-0002-0000-0000-000015000000}"/>
  </dataValidations>
  <hyperlinks>
    <hyperlink ref="L105" r:id="rId1" xr:uid="{00000000-0004-0000-0000-000000000000}"/>
    <hyperlink ref="F101:W101" r:id="rId2" display=" http://www.foodstandards.gov.au/foodstandardscode/" xr:uid="{00000000-0004-0000-0000-000001000000}"/>
    <hyperlink ref="W103" r:id="rId3" xr:uid="{00000000-0004-0000-0000-000002000000}"/>
    <hyperlink ref="R380" r:id="rId4" xr:uid="{00000000-0004-0000-0000-000003000000}"/>
  </hyperlinks>
  <printOptions horizontalCentered="1"/>
  <pageMargins left="0.23622047244094491" right="0.23622047244094491" top="0.74803149606299213" bottom="0" header="0.31496062992125984" footer="0.31496062992125984"/>
  <pageSetup paperSize="9" orientation="portrait" horizontalDpi="300" verticalDpi="300" r:id="rId5"/>
  <headerFooter>
    <oddHeader>&amp;LProduct Information Form&amp;CPage &amp;P&amp;RPrint date:&amp;D</oddHeader>
  </headerFooter>
  <rowBreaks count="14" manualBreakCount="14">
    <brk id="49" max="16383" man="1"/>
    <brk id="81" max="16383" man="1"/>
    <brk id="126" max="16383" man="1"/>
    <brk id="189" max="16383" man="1"/>
    <brk id="231" max="16383" man="1"/>
    <brk id="272" max="16383" man="1"/>
    <brk id="319" max="16383" man="1"/>
    <brk id="375" max="16383" man="1"/>
    <brk id="429" max="16383" man="1"/>
    <brk id="478" max="16383" man="1"/>
    <brk id="564" max="16383" man="1"/>
    <brk id="722" max="16383" man="1"/>
    <brk id="814" max="16383" man="1"/>
    <brk id="860" max="16383" man="1"/>
  </rowBreaks>
  <colBreaks count="1" manualBreakCount="1">
    <brk id="1" max="1048575" man="1"/>
  </colBreaks>
  <drawing r:id="rId6"/>
  <legacyDrawing r:id="rId7"/>
  <oleObjects>
    <mc:AlternateContent xmlns:mc="http://schemas.openxmlformats.org/markup-compatibility/2006">
      <mc:Choice Requires="x14">
        <oleObject progId="Paint.Picture" shapeId="1039" r:id="rId8">
          <objectPr locked="0" defaultSize="0" autoPict="0" r:id="rId9">
            <anchor moveWithCells="1">
              <from>
                <xdr:col>2</xdr:col>
                <xdr:colOff>9525</xdr:colOff>
                <xdr:row>2</xdr:row>
                <xdr:rowOff>0</xdr:rowOff>
              </from>
              <to>
                <xdr:col>7</xdr:col>
                <xdr:colOff>104775</xdr:colOff>
                <xdr:row>3</xdr:row>
                <xdr:rowOff>495300</xdr:rowOff>
              </to>
            </anchor>
          </objectPr>
        </oleObject>
      </mc:Choice>
      <mc:Fallback>
        <oleObject progId="Paint.Picture" shapeId="1039" r:id="rId8"/>
      </mc:Fallback>
    </mc:AlternateContent>
    <mc:AlternateContent xmlns:mc="http://schemas.openxmlformats.org/markup-compatibility/2006">
      <mc:Choice Requires="x14">
        <oleObject progId="Paint.Picture" shapeId="1044" r:id="rId10">
          <objectPr locked="0" defaultSize="0" autoPict="0" r:id="rId11">
            <anchor moveWithCells="1">
              <from>
                <xdr:col>14</xdr:col>
                <xdr:colOff>9525</xdr:colOff>
                <xdr:row>96</xdr:row>
                <xdr:rowOff>9525</xdr:rowOff>
              </from>
              <to>
                <xdr:col>32</xdr:col>
                <xdr:colOff>219075</xdr:colOff>
                <xdr:row>97</xdr:row>
                <xdr:rowOff>0</xdr:rowOff>
              </to>
            </anchor>
          </objectPr>
        </oleObject>
      </mc:Choice>
      <mc:Fallback>
        <oleObject progId="Paint.Picture" shapeId="1044" r:id="rId10"/>
      </mc:Fallback>
    </mc:AlternateContent>
    <mc:AlternateContent xmlns:mc="http://schemas.openxmlformats.org/markup-compatibility/2006">
      <mc:Choice Requires="x14">
        <oleObject progId="Paint.Picture" shapeId="15003" r:id="rId12">
          <objectPr locked="0" defaultSize="0" autoPict="0" r:id="rId11">
            <anchor moveWithCells="1">
              <from>
                <xdr:col>14</xdr:col>
                <xdr:colOff>9525</xdr:colOff>
                <xdr:row>78</xdr:row>
                <xdr:rowOff>9525</xdr:rowOff>
              </from>
              <to>
                <xdr:col>32</xdr:col>
                <xdr:colOff>219075</xdr:colOff>
                <xdr:row>79</xdr:row>
                <xdr:rowOff>0</xdr:rowOff>
              </to>
            </anchor>
          </objectPr>
        </oleObject>
      </mc:Choice>
      <mc:Fallback>
        <oleObject progId="Paint.Picture" shapeId="15003"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12"/>
  <sheetViews>
    <sheetView workbookViewId="0">
      <selection activeCell="B12" sqref="B12"/>
    </sheetView>
  </sheetViews>
  <sheetFormatPr defaultRowHeight="12.75" x14ac:dyDescent="0.2"/>
  <cols>
    <col min="1" max="1" width="9.140625" style="404"/>
    <col min="2" max="2" width="88.85546875" style="404" customWidth="1"/>
    <col min="3" max="16384" width="9.140625" style="404"/>
  </cols>
  <sheetData>
    <row r="1" spans="2:2" ht="32.25" customHeight="1" x14ac:dyDescent="0.3">
      <c r="B1" s="405" t="s">
        <v>170</v>
      </c>
    </row>
    <row r="3" spans="2:2" x14ac:dyDescent="0.2">
      <c r="B3" s="404" t="s">
        <v>168</v>
      </c>
    </row>
    <row r="4" spans="2:2" x14ac:dyDescent="0.2">
      <c r="B4" s="404" t="s">
        <v>169</v>
      </c>
    </row>
    <row r="12" spans="2:2" x14ac:dyDescent="0.2">
      <c r="B12" s="406"/>
    </row>
  </sheetData>
  <sheetProtection password="E9D1" sheet="1" scenarios="1" formatCells="0" insertHyperlinks="0" selectLockedCells="1"/>
  <phoneticPr fontId="8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Product Information Form</vt:lpstr>
      <vt:lpstr>Certificates and documents</vt:lpstr>
      <vt:lpstr>'Product Information Form'!CoyName1</vt:lpstr>
      <vt:lpstr>'Product Information Form'!CoyName2</vt:lpstr>
      <vt:lpstr>'Product Information Form'!Print_Area</vt:lpstr>
      <vt:lpstr>'Product Information Form'!Section1Check5</vt:lpstr>
      <vt:lpstr>'Product Information Form'!SiteLocation1</vt:lpstr>
      <vt:lpstr>'Product Information Form'!SiteLocation2</vt:lpstr>
    </vt:vector>
  </TitlesOfParts>
  <Manager>Australian Food and Grocery Council;Kim Leighton</Manager>
  <Company>Australian Food and Grocery Council (AFGC)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Version 5.0</dc:title>
  <dc:subject>Product Information Form</dc:subject>
  <dc:creator>Kim Leighton, AFGC</dc:creator>
  <cp:keywords>PIF, allergen, declaration, ingredient</cp:keywords>
  <dc:description>Product Information Form Revised Version 5.0 
Supplier questionnaire. Initial release date 30 September 2011. Updated 01 February 2012.
AFGC2012.</dc:description>
  <cp:lastModifiedBy>Rachael Knapton</cp:lastModifiedBy>
  <cp:lastPrinted>2011-11-29T10:21:29Z</cp:lastPrinted>
  <dcterms:created xsi:type="dcterms:W3CDTF">2008-05-26T20:47:36Z</dcterms:created>
  <dcterms:modified xsi:type="dcterms:W3CDTF">2021-05-27T21:05:15Z</dcterms:modified>
  <cp:category>Product Information</cp:category>
  <cp:contentStatus>FINAL STATUS</cp:contentStatus>
</cp:coreProperties>
</file>